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I:\OBRAS - Projetos\2025 - PAVIMENTAÇÃO RUA BENNO JOHAN HEINLE - INDUSTRIAL\PAVIMENTAÇÃO RUA BENNO JOHAN HEINLE - INDUSTRIAL\"/>
    </mc:Choice>
  </mc:AlternateContent>
  <xr:revisionPtr revIDLastSave="0" documentId="13_ncr:1_{DB397A48-0181-4422-8622-5119BE5ED8C7}" xr6:coauthVersionLast="47" xr6:coauthVersionMax="47" xr10:uidLastSave="{00000000-0000-0000-0000-000000000000}"/>
  <bookViews>
    <workbookView xWindow="-120" yWindow="-120" windowWidth="29040" windowHeight="15720" tabRatio="793" xr2:uid="{00000000-000D-0000-FFFF-FFFF00000000}"/>
  </bookViews>
  <sheets>
    <sheet name="Orc" sheetId="1" r:id="rId1"/>
    <sheet name="Crono" sheetId="122" r:id="rId2"/>
    <sheet name="CP01" sheetId="117" r:id="rId3"/>
    <sheet name="CP02" sheetId="151" r:id="rId4"/>
    <sheet name="CP03" sheetId="149" r:id="rId5"/>
    <sheet name="CP04" sheetId="150" r:id="rId6"/>
    <sheet name="CP05" sheetId="152" r:id="rId7"/>
    <sheet name="M_Glob" sheetId="28" r:id="rId8"/>
    <sheet name="M_DMT" sheetId="148" r:id="rId9"/>
    <sheet name="BDI_Declaracao" sheetId="35" r:id="rId10"/>
    <sheet name="BDI_Preencher" sheetId="34" r:id="rId11"/>
    <sheet name="R_Preço" sheetId="86" state="hidden" r:id="rId12"/>
  </sheets>
  <externalReferences>
    <externalReference r:id="rId13"/>
    <externalReference r:id="rId14"/>
    <externalReference r:id="rId15"/>
  </externalReferences>
  <definedNames>
    <definedName name="_xlnm._FilterDatabase" localSheetId="11" hidden="1">R_Preço!$A$7:$AA$7</definedName>
    <definedName name="_xlnm.Print_Area" localSheetId="9">BDI_Declaracao!$A$1:$J$43</definedName>
    <definedName name="_xlnm.Print_Area" localSheetId="10">BDI_Preencher!$B$1:$I$58</definedName>
    <definedName name="_xlnm.Print_Area" localSheetId="2">'CP01'!$A$1:$J$19</definedName>
    <definedName name="_xlnm.Print_Area" localSheetId="4">'CP03'!$A$1:$J$20</definedName>
    <definedName name="_xlnm.Print_Area" localSheetId="6">'CP05'!$A$1:$H$30</definedName>
    <definedName name="_xlnm.Print_Area" localSheetId="1">Crono!$A$1:$K$29</definedName>
    <definedName name="_xlnm.Print_Area" localSheetId="8">M_DMT!$A$1:$R$36</definedName>
    <definedName name="_xlnm.Print_Area" localSheetId="7">M_Glob!$A$1:$I$165</definedName>
    <definedName name="_xlnm.Print_Area" localSheetId="0">Orc!$A$1:$I$74</definedName>
    <definedName name="_xlnm.Print_Area" localSheetId="11">R_Preço!$A$1:$H$29</definedName>
    <definedName name="BASEDECALCULO" localSheetId="4">[1]BDI_Preencher!$L$22:$M$22</definedName>
    <definedName name="BASEDECALCULO" localSheetId="8">#REF!</definedName>
    <definedName name="BASEDECALCULO">BDI_Preencher!$L$22:$M$22</definedName>
    <definedName name="BDI">Orc!$J$1</definedName>
    <definedName name="CREACAU" localSheetId="4">[1]BDI_Preencher!$H$14:$I$14</definedName>
    <definedName name="CREACAU" localSheetId="8">#REF!</definedName>
    <definedName name="CREACAU">BDI_Preencher!$H$14:$I$14</definedName>
    <definedName name="ENCARGOS" localSheetId="4">[1]BDI_Preencher!$L$19:$M$19</definedName>
    <definedName name="ENCARGOS" localSheetId="8">#REF!</definedName>
    <definedName name="ENCARGOS">BDI_Preencher!$L$19:$M$19</definedName>
    <definedName name="ente" localSheetId="4">[1]BDI_Preencher!$H$5:$I$5</definedName>
    <definedName name="ente" localSheetId="8">#REF!</definedName>
    <definedName name="ente">BDI_Preencher!$H$5:$I$5</definedName>
    <definedName name="regime" localSheetId="4">[1]BDI_Preencher!$G$19:$H$19</definedName>
    <definedName name="regime" localSheetId="8">#REF!</definedName>
    <definedName name="regime">BDI_Preencher!$G$19:$H$19</definedName>
    <definedName name="_xlnm.Print_Titles" localSheetId="1">Crono!$1:$7</definedName>
    <definedName name="_xlnm.Print_Titles" localSheetId="8">M_DMT!$1:$4</definedName>
    <definedName name="_xlnm.Print_Titles" localSheetId="7">M_Glob!$1:$5</definedName>
    <definedName name="_xlnm.Print_Titles" localSheetId="0">Orc!$1:$7</definedName>
    <definedName name="_xlnm.Print_Titles" localSheetId="11">R_Preço!$1:$5</definedName>
  </definedNames>
  <calcPr calcId="191029" fullPrecision="0"/>
</workbook>
</file>

<file path=xl/calcChain.xml><?xml version="1.0" encoding="utf-8"?>
<calcChain xmlns="http://schemas.openxmlformats.org/spreadsheetml/2006/main">
  <c r="C105" i="28" l="1"/>
  <c r="H11" i="117"/>
  <c r="H10" i="152"/>
  <c r="H11" i="152"/>
  <c r="H12" i="152"/>
  <c r="H13" i="152"/>
  <c r="H14" i="152"/>
  <c r="H15" i="152"/>
  <c r="H16" i="152"/>
  <c r="H17" i="152"/>
  <c r="H18" i="152"/>
  <c r="H19" i="152"/>
  <c r="H20" i="152"/>
  <c r="H21" i="152"/>
  <c r="H22" i="152"/>
  <c r="H23" i="152"/>
  <c r="H24" i="152"/>
  <c r="H25" i="152"/>
  <c r="H26" i="152"/>
  <c r="H27" i="152"/>
  <c r="H9" i="152"/>
  <c r="A5" i="152"/>
  <c r="E102" i="28"/>
  <c r="D10" i="1"/>
  <c r="H29" i="152" l="1"/>
  <c r="J17" i="122"/>
  <c r="B18" i="122"/>
  <c r="B17" i="122"/>
  <c r="F56" i="1"/>
  <c r="G139" i="28"/>
  <c r="F55" i="1" s="1"/>
  <c r="G134" i="28"/>
  <c r="F54" i="1" s="1"/>
  <c r="C130" i="28"/>
  <c r="H56" i="1"/>
  <c r="H55" i="1"/>
  <c r="H54" i="1"/>
  <c r="E56" i="1"/>
  <c r="D56" i="1"/>
  <c r="C141" i="28" s="1"/>
  <c r="E55" i="1"/>
  <c r="D55" i="1"/>
  <c r="C136" i="28" s="1"/>
  <c r="E54" i="1"/>
  <c r="D54" i="1"/>
  <c r="C131" i="28" s="1"/>
  <c r="I131" i="28" l="1"/>
  <c r="I136" i="28"/>
  <c r="I56" i="1"/>
  <c r="I55" i="1"/>
  <c r="I54" i="1"/>
  <c r="H61" i="1" l="1"/>
  <c r="H47" i="1"/>
  <c r="H48" i="1"/>
  <c r="I48" i="1" s="1"/>
  <c r="H49" i="1"/>
  <c r="I49" i="1" s="1"/>
  <c r="H46" i="1"/>
  <c r="H38" i="1"/>
  <c r="H39" i="1"/>
  <c r="H41" i="1"/>
  <c r="H42" i="1"/>
  <c r="H37" i="1"/>
  <c r="H32" i="1"/>
  <c r="H30" i="1"/>
  <c r="H26" i="1"/>
  <c r="H21" i="1"/>
  <c r="H22" i="1"/>
  <c r="H20" i="1"/>
  <c r="H11" i="1"/>
  <c r="I99" i="28"/>
  <c r="D81" i="28"/>
  <c r="D88" i="28" s="1"/>
  <c r="F88" i="28" s="1"/>
  <c r="D72" i="28"/>
  <c r="D80" i="28" s="1"/>
  <c r="J10" i="122"/>
  <c r="J12" i="122"/>
  <c r="J13" i="122"/>
  <c r="J14" i="122"/>
  <c r="J15" i="122"/>
  <c r="J16" i="122"/>
  <c r="J18" i="122"/>
  <c r="J9" i="122"/>
  <c r="F73" i="28"/>
  <c r="H73" i="28" s="1"/>
  <c r="C68" i="28"/>
  <c r="A5" i="150"/>
  <c r="A4" i="149"/>
  <c r="A5" i="151"/>
  <c r="F58" i="28"/>
  <c r="G58" i="28" s="1"/>
  <c r="F116" i="28"/>
  <c r="F117" i="28" s="1"/>
  <c r="I113" i="28" s="1"/>
  <c r="F72" i="28" l="1"/>
  <c r="H72" i="28" s="1"/>
  <c r="H74" i="28" s="1"/>
  <c r="I68" i="28" s="1"/>
  <c r="F37" i="1" s="1"/>
  <c r="I37" i="1" s="1"/>
  <c r="F81" i="28"/>
  <c r="D87" i="28"/>
  <c r="F87" i="28" s="1"/>
  <c r="F89" i="28" s="1"/>
  <c r="I84" i="28" s="1"/>
  <c r="F80" i="28"/>
  <c r="A18" i="86"/>
  <c r="F82" i="28" l="1"/>
  <c r="I77" i="28" s="1"/>
  <c r="I57" i="1"/>
  <c r="B12" i="122"/>
  <c r="C17" i="122" l="1"/>
  <c r="H17" i="28"/>
  <c r="I12" i="28" s="1"/>
  <c r="F11" i="1" s="1"/>
  <c r="I11" i="1" s="1"/>
  <c r="E17" i="122" l="1"/>
  <c r="I17" i="122" s="1"/>
  <c r="A3" i="28"/>
  <c r="A4" i="28"/>
  <c r="B6" i="28"/>
  <c r="E10" i="28"/>
  <c r="I7" i="28" s="1"/>
  <c r="B19" i="28"/>
  <c r="I20" i="28"/>
  <c r="B24" i="28"/>
  <c r="B26" i="28"/>
  <c r="B27" i="28"/>
  <c r="E31" i="28"/>
  <c r="I28" i="28" s="1"/>
  <c r="F20" i="1" s="1"/>
  <c r="I20" i="1" s="1"/>
  <c r="E37" i="28"/>
  <c r="G37" i="28" s="1"/>
  <c r="I34" i="28" s="1"/>
  <c r="D42" i="28" s="1"/>
  <c r="F42" i="28" s="1"/>
  <c r="B46" i="28"/>
  <c r="H50" i="28"/>
  <c r="I47" i="28" s="1"/>
  <c r="C54" i="28"/>
  <c r="B54" i="28" s="1"/>
  <c r="B65" i="28"/>
  <c r="D95" i="28"/>
  <c r="F95" i="28" s="1"/>
  <c r="B104" i="28"/>
  <c r="F109" i="28"/>
  <c r="F110" i="28" s="1"/>
  <c r="I105" i="28" s="1"/>
  <c r="F122" i="28"/>
  <c r="E127" i="28"/>
  <c r="B146" i="28"/>
  <c r="F151" i="28"/>
  <c r="H151" i="28" s="1"/>
  <c r="A44" i="86"/>
  <c r="F127" i="28" l="1"/>
  <c r="H122" i="28"/>
  <c r="D156" i="28"/>
  <c r="F156" i="28" s="1"/>
  <c r="I153" i="28" s="1"/>
  <c r="I147" i="28"/>
  <c r="G127" i="28"/>
  <c r="I56" i="28"/>
  <c r="D63" i="28" s="1"/>
  <c r="F63" i="28" s="1"/>
  <c r="I119" i="28" l="1"/>
  <c r="H127" i="28"/>
  <c r="I127" i="28" s="1"/>
  <c r="I124" i="28" s="1"/>
  <c r="D12" i="148"/>
  <c r="A43" i="86"/>
  <c r="G42" i="28" l="1"/>
  <c r="H42" i="28" s="1"/>
  <c r="I39" i="28" s="1"/>
  <c r="G63" i="28"/>
  <c r="G95" i="28"/>
  <c r="H95" i="28" s="1"/>
  <c r="I92" i="28" s="1"/>
  <c r="H63" i="28" l="1"/>
  <c r="I60" i="28" s="1"/>
  <c r="A42" i="86"/>
  <c r="F21" i="1" l="1"/>
  <c r="I21" i="1" s="1"/>
  <c r="F42" i="1"/>
  <c r="I42" i="1" s="1"/>
  <c r="A41" i="86" l="1"/>
  <c r="F26" i="1"/>
  <c r="I26" i="1" s="1"/>
  <c r="F15" i="1"/>
  <c r="A40" i="86"/>
  <c r="A39" i="86"/>
  <c r="B13" i="122"/>
  <c r="B14" i="122"/>
  <c r="A9" i="86"/>
  <c r="F38" i="1" l="1"/>
  <c r="I38" i="1" s="1"/>
  <c r="F47" i="1"/>
  <c r="I47" i="1" s="1"/>
  <c r="A29" i="86"/>
  <c r="F39" i="1" l="1"/>
  <c r="I39" i="1" s="1"/>
  <c r="A12" i="86"/>
  <c r="A38" i="86"/>
  <c r="A37" i="86" l="1"/>
  <c r="J17" i="150" l="1"/>
  <c r="A36" i="86"/>
  <c r="J19" i="150"/>
  <c r="J18" i="150"/>
  <c r="J16" i="150"/>
  <c r="J15" i="150"/>
  <c r="J9" i="150"/>
  <c r="J8" i="150"/>
  <c r="A35" i="86"/>
  <c r="A34" i="86"/>
  <c r="A33" i="86"/>
  <c r="A32" i="86"/>
  <c r="A31" i="86"/>
  <c r="A28" i="86"/>
  <c r="A27" i="86"/>
  <c r="A26" i="86"/>
  <c r="A30" i="86"/>
  <c r="G19" i="150"/>
  <c r="C19" i="150"/>
  <c r="G18" i="150"/>
  <c r="C18" i="150"/>
  <c r="G17" i="150"/>
  <c r="C17" i="150"/>
  <c r="G16" i="150"/>
  <c r="C16" i="150"/>
  <c r="G15" i="150"/>
  <c r="C15" i="150"/>
  <c r="G9" i="150"/>
  <c r="C9" i="150"/>
  <c r="G8" i="150"/>
  <c r="C8" i="150"/>
  <c r="J12" i="150" l="1"/>
  <c r="I31" i="1" l="1"/>
  <c r="H31" i="1"/>
  <c r="E9" i="86" l="1"/>
  <c r="F60" i="1" l="1"/>
  <c r="F61" i="1"/>
  <c r="I61" i="1" s="1"/>
  <c r="A4" i="148"/>
  <c r="A3" i="148"/>
  <c r="F22" i="1"/>
  <c r="I22" i="1" s="1"/>
  <c r="A25" i="86" l="1"/>
  <c r="B11" i="122" l="1"/>
  <c r="B10" i="122"/>
  <c r="B9" i="122"/>
  <c r="F30" i="1" l="1"/>
  <c r="I30" i="1" s="1"/>
  <c r="A22" i="86" l="1"/>
  <c r="F32" i="1" l="1"/>
  <c r="I32" i="1" s="1"/>
  <c r="B16" i="122"/>
  <c r="E8" i="86" l="1"/>
  <c r="H7" i="117"/>
  <c r="F10" i="1"/>
  <c r="F41" i="1" l="1"/>
  <c r="I41" i="1" s="1"/>
  <c r="B15" i="122" l="1"/>
  <c r="A9" i="122"/>
  <c r="A4" i="122"/>
  <c r="A3" i="122"/>
  <c r="B4" i="86" l="1"/>
  <c r="B3" i="86"/>
  <c r="A17" i="86" l="1"/>
  <c r="A20" i="86" l="1"/>
  <c r="A19" i="86"/>
  <c r="A4" i="117"/>
  <c r="A3" i="117"/>
  <c r="F46" i="1" l="1"/>
  <c r="I46" i="1" s="1"/>
  <c r="A13" i="86" l="1"/>
  <c r="A14" i="86"/>
  <c r="A23" i="86" l="1"/>
  <c r="A21" i="86" l="1"/>
  <c r="A10" i="86"/>
  <c r="A11" i="86"/>
  <c r="E47" i="1"/>
  <c r="A8" i="86"/>
  <c r="A16" i="86"/>
  <c r="A15" i="86"/>
  <c r="A24" i="86"/>
  <c r="B84" i="28" l="1"/>
  <c r="C12" i="28"/>
  <c r="D20" i="1"/>
  <c r="C28" i="28" s="1"/>
  <c r="D22" i="1"/>
  <c r="C39" i="28" s="1"/>
  <c r="B39" i="28" s="1"/>
  <c r="E22" i="1"/>
  <c r="E20" i="1"/>
  <c r="D42" i="1"/>
  <c r="C99" i="28" s="1"/>
  <c r="E42" i="1"/>
  <c r="D38" i="1"/>
  <c r="D60" i="1"/>
  <c r="B147" i="28" s="1"/>
  <c r="E38" i="1"/>
  <c r="J14" i="151"/>
  <c r="E61" i="1"/>
  <c r="J8" i="151"/>
  <c r="J10" i="151" s="1"/>
  <c r="C8" i="151"/>
  <c r="G8" i="151"/>
  <c r="G14" i="151"/>
  <c r="D61" i="1"/>
  <c r="C153" i="28" s="1"/>
  <c r="B153" i="28" s="1"/>
  <c r="C13" i="151"/>
  <c r="I13" i="151"/>
  <c r="J13" i="151" s="1"/>
  <c r="G13" i="151"/>
  <c r="E21" i="1"/>
  <c r="D21" i="1"/>
  <c r="C34" i="28" s="1"/>
  <c r="B34" i="28" s="1"/>
  <c r="G14" i="149"/>
  <c r="C15" i="149"/>
  <c r="C7" i="149"/>
  <c r="G7" i="149"/>
  <c r="J14" i="149"/>
  <c r="J13" i="149"/>
  <c r="C13" i="149"/>
  <c r="J8" i="149"/>
  <c r="J15" i="149"/>
  <c r="C8" i="149"/>
  <c r="J7" i="149"/>
  <c r="G15" i="149"/>
  <c r="C14" i="149"/>
  <c r="G8" i="149"/>
  <c r="G13" i="149"/>
  <c r="E60" i="1"/>
  <c r="E32" i="1"/>
  <c r="D32" i="1"/>
  <c r="B60" i="28" s="1"/>
  <c r="D41" i="1"/>
  <c r="B92" i="28" s="1"/>
  <c r="E41" i="1"/>
  <c r="J7" i="117"/>
  <c r="G11" i="117"/>
  <c r="C11" i="117"/>
  <c r="I11" i="117"/>
  <c r="J11" i="117" s="1"/>
  <c r="B55" i="28"/>
  <c r="E49" i="1"/>
  <c r="D49" i="1"/>
  <c r="C124" i="28" s="1"/>
  <c r="B124" i="28" s="1"/>
  <c r="B7" i="28"/>
  <c r="E10" i="1"/>
  <c r="E15" i="1"/>
  <c r="E26" i="1"/>
  <c r="D15" i="1"/>
  <c r="B20" i="28" s="1"/>
  <c r="B105" i="28"/>
  <c r="D47" i="1"/>
  <c r="B113" i="28" s="1"/>
  <c r="D26" i="1"/>
  <c r="C47" i="28" s="1"/>
  <c r="B47" i="28" s="1"/>
  <c r="E48" i="1"/>
  <c r="D48" i="1"/>
  <c r="B119" i="28" s="1"/>
  <c r="C77" i="28" l="1"/>
  <c r="B28" i="28"/>
  <c r="J15" i="151"/>
  <c r="J17" i="151" s="1"/>
  <c r="J17" i="149"/>
  <c r="J10" i="149"/>
  <c r="J15" i="117"/>
  <c r="J17" i="117" s="1"/>
  <c r="F40" i="86" l="1"/>
  <c r="H50" i="1"/>
  <c r="I50" i="1" s="1"/>
  <c r="J19" i="149"/>
  <c r="F9" i="86" s="1"/>
  <c r="H60" i="1" s="1"/>
  <c r="I60" i="1" s="1"/>
  <c r="F8" i="86" l="1"/>
  <c r="H15" i="1" l="1"/>
  <c r="I15" i="1" s="1"/>
  <c r="B42" i="35"/>
  <c r="B41" i="35"/>
  <c r="B37" i="35"/>
  <c r="B36" i="35"/>
  <c r="E21" i="35"/>
  <c r="E20" i="35"/>
  <c r="E18" i="35"/>
  <c r="E17" i="35"/>
  <c r="E16" i="35"/>
  <c r="E15" i="35"/>
  <c r="E14" i="35"/>
  <c r="D11" i="35"/>
  <c r="B7" i="35"/>
  <c r="B6" i="35"/>
  <c r="B5" i="35"/>
  <c r="B4" i="35"/>
  <c r="J51" i="34"/>
  <c r="I51" i="34" s="1"/>
  <c r="G43" i="34"/>
  <c r="E23" i="35" s="1"/>
  <c r="G42" i="34"/>
  <c r="E22" i="35" s="1"/>
  <c r="J38" i="34"/>
  <c r="I38" i="34" s="1"/>
  <c r="J37" i="34"/>
  <c r="I37" i="34" s="1"/>
  <c r="J36" i="34"/>
  <c r="I36" i="34" s="1"/>
  <c r="J35" i="34"/>
  <c r="I35" i="34" s="1"/>
  <c r="J34" i="34"/>
  <c r="I34" i="34" s="1"/>
  <c r="E33" i="35"/>
  <c r="G6" i="34"/>
  <c r="F5" i="34"/>
  <c r="H34" i="34" l="1"/>
  <c r="H35" i="34"/>
  <c r="H36" i="34"/>
  <c r="H37" i="34"/>
  <c r="H38" i="34"/>
  <c r="G39" i="34"/>
  <c r="G51" i="34" s="1"/>
  <c r="L40" i="34" s="1"/>
  <c r="H51" i="34"/>
  <c r="E19" i="35"/>
  <c r="E30" i="35" s="1"/>
  <c r="H7" i="1" s="1"/>
  <c r="I7" i="1" l="1"/>
  <c r="G44" i="34"/>
  <c r="G52" i="34" s="1"/>
  <c r="J52" i="34"/>
  <c r="L38" i="34"/>
  <c r="L35" i="34"/>
  <c r="B3" i="35"/>
  <c r="L37" i="34"/>
  <c r="L34" i="34"/>
  <c r="B51" i="34"/>
  <c r="L36" i="34"/>
  <c r="L41" i="34"/>
  <c r="F29" i="35"/>
  <c r="I23" i="1" l="1"/>
  <c r="C12" i="122" s="1"/>
  <c r="I51" i="1"/>
  <c r="C16" i="122" s="1"/>
  <c r="G16" i="122" l="1"/>
  <c r="I16" i="122" s="1"/>
  <c r="I43" i="1"/>
  <c r="C15" i="122" s="1"/>
  <c r="I62" i="1"/>
  <c r="C18" i="122" s="1"/>
  <c r="I27" i="1"/>
  <c r="I16" i="1"/>
  <c r="C10" i="122" s="1"/>
  <c r="C13" i="122" l="1"/>
  <c r="E13" i="122" s="1"/>
  <c r="I13" i="122" s="1"/>
  <c r="G18" i="122"/>
  <c r="I18" i="122" s="1"/>
  <c r="E12" i="122"/>
  <c r="I12" i="122" s="1"/>
  <c r="G10" i="122"/>
  <c r="E10" i="122"/>
  <c r="I33" i="1"/>
  <c r="C14" i="122" s="1"/>
  <c r="I10" i="122" l="1"/>
  <c r="G15" i="122"/>
  <c r="I15" i="122" s="1"/>
  <c r="I34" i="1"/>
  <c r="G14" i="122"/>
  <c r="I14" i="122" s="1"/>
  <c r="J20" i="150" l="1"/>
  <c r="J22" i="150" s="1"/>
  <c r="H10" i="1" l="1"/>
  <c r="I10" i="1" s="1"/>
  <c r="F30" i="86"/>
  <c r="I12" i="1" l="1"/>
  <c r="I64" i="1" l="1"/>
  <c r="C9" i="122"/>
  <c r="C20" i="122" s="1"/>
  <c r="D17" i="122" s="1"/>
  <c r="D10" i="122" l="1"/>
  <c r="D12" i="122"/>
  <c r="D16" i="122"/>
  <c r="D20" i="122"/>
  <c r="D13" i="122"/>
  <c r="D18" i="122"/>
  <c r="D14" i="122"/>
  <c r="D9" i="122"/>
  <c r="D15" i="122"/>
  <c r="E9" i="122"/>
  <c r="E20" i="122" s="1"/>
  <c r="I9" i="122" l="1"/>
  <c r="G20" i="122"/>
  <c r="E21" i="122" l="1"/>
  <c r="G21" i="122" s="1"/>
  <c r="F20" i="122"/>
  <c r="F21" i="122" s="1"/>
  <c r="I20" i="122"/>
  <c r="I21" i="122" s="1"/>
  <c r="H20" i="122"/>
  <c r="J20" i="122" l="1"/>
  <c r="H21" i="122"/>
</calcChain>
</file>

<file path=xl/sharedStrings.xml><?xml version="1.0" encoding="utf-8"?>
<sst xmlns="http://schemas.openxmlformats.org/spreadsheetml/2006/main" count="851" uniqueCount="447">
  <si>
    <t>ITEM</t>
  </si>
  <si>
    <t>FONTE</t>
  </si>
  <si>
    <t>DESCRIÇÃO</t>
  </si>
  <si>
    <t>UNID.</t>
  </si>
  <si>
    <t>S/BDI</t>
  </si>
  <si>
    <t>V.TOTAL</t>
  </si>
  <si>
    <t>(R$)</t>
  </si>
  <si>
    <t>m²</t>
  </si>
  <si>
    <t>unid</t>
  </si>
  <si>
    <t>m³</t>
  </si>
  <si>
    <t>h</t>
  </si>
  <si>
    <t>SINAPI-C</t>
  </si>
  <si>
    <t>SINAPI-I</t>
  </si>
  <si>
    <t>1.1</t>
  </si>
  <si>
    <t>1.2</t>
  </si>
  <si>
    <t>2.1</t>
  </si>
  <si>
    <t>3.1</t>
  </si>
  <si>
    <t>3.2</t>
  </si>
  <si>
    <t>3.3</t>
  </si>
  <si>
    <t>IMPOSTOS</t>
  </si>
  <si>
    <t>PIS</t>
  </si>
  <si>
    <t>COFINS</t>
  </si>
  <si>
    <t>CPRB</t>
  </si>
  <si>
    <t>Fonte</t>
  </si>
  <si>
    <t>Unid.</t>
  </si>
  <si>
    <t>Legenda:</t>
  </si>
  <si>
    <t>Item</t>
  </si>
  <si>
    <t>Descrição</t>
  </si>
  <si>
    <t>%</t>
  </si>
  <si>
    <t xml:space="preserve">SERVIÇOS INICIAIS </t>
  </si>
  <si>
    <t>ADMINISTRAÇÃO LOCAL</t>
  </si>
  <si>
    <t>Placa obra-aço de chapa galvan. 1,25x2,00 m</t>
  </si>
  <si>
    <t>4.1</t>
  </si>
  <si>
    <t>m</t>
  </si>
  <si>
    <t>m³xkm</t>
  </si>
  <si>
    <t>Total=</t>
  </si>
  <si>
    <t>Volume Total
(m³)</t>
  </si>
  <si>
    <t>Volume
(m³)</t>
  </si>
  <si>
    <t>Área Total
(m²)</t>
  </si>
  <si>
    <t>Total</t>
  </si>
  <si>
    <t>Largura
(m)</t>
  </si>
  <si>
    <t>Volume de
Transporte (m³)</t>
  </si>
  <si>
    <t>PAVIMENTAÇÃO</t>
  </si>
  <si>
    <t>Confecção de placa semi-refletiva</t>
  </si>
  <si>
    <t>Suporte metálico D=2'' parede 2mm 3,5m galvanizado a fogo</t>
  </si>
  <si>
    <t>Transporte
(m³ x km)</t>
  </si>
  <si>
    <t>D.M.T
(km)</t>
  </si>
  <si>
    <t>Área
(m²)</t>
  </si>
  <si>
    <t>Quantidade
(unid)</t>
  </si>
  <si>
    <t>Altura
(m)</t>
  </si>
  <si>
    <t>Dimensão 1
(m)</t>
  </si>
  <si>
    <t>Dimensão 2
(m)</t>
  </si>
  <si>
    <t xml:space="preserve">Transporte de equipamentos com Cavalo Mecânico e Reboque </t>
  </si>
  <si>
    <t>Caminhão carroceria</t>
  </si>
  <si>
    <t>NÃO É NECESSÁRIO IMPRIMIR ESTA ABA</t>
  </si>
  <si>
    <t>PREENCHA OS CAMPOS EM AMARELO E IMPRIMA A ABA "DECLARAÇÃO"</t>
  </si>
  <si>
    <t>Prefeitura Municipal de</t>
  </si>
  <si>
    <t>Empresa</t>
  </si>
  <si>
    <t>Tomador/Empresa:</t>
  </si>
  <si>
    <t>Município:</t>
  </si>
  <si>
    <t>Nº contrato:</t>
  </si>
  <si>
    <t>Objeto:</t>
  </si>
  <si>
    <t>Encargos :</t>
  </si>
  <si>
    <t>desonerados</t>
  </si>
  <si>
    <t>Data:</t>
  </si>
  <si>
    <t>Nome orçamentista:</t>
  </si>
  <si>
    <t xml:space="preserve">CREA nº </t>
  </si>
  <si>
    <t xml:space="preserve">CAU nº </t>
  </si>
  <si>
    <t>Nome do prefeito</t>
  </si>
  <si>
    <t>CPF do prefeito</t>
  </si>
  <si>
    <t>Regime de execução:</t>
  </si>
  <si>
    <t>empreitada por preço global</t>
  </si>
  <si>
    <t>empreitada por preço unitário</t>
  </si>
  <si>
    <t>sem desoneração</t>
  </si>
  <si>
    <t>Alíquota ISSQN:</t>
  </si>
  <si>
    <t>Base de cálculo ISSQN:</t>
  </si>
  <si>
    <t>valor total da obra</t>
  </si>
  <si>
    <t>valor da mão de obra</t>
  </si>
  <si>
    <t>% de Mão de Obra (em relação ao valor total da obra):</t>
  </si>
  <si>
    <t>Cálculo do BDI conforme Acórdão 2622/2013 TCU</t>
  </si>
  <si>
    <t>SELECIONE O
TIPO DE OBRA:</t>
  </si>
  <si>
    <t>2 - Construção de Rodovias e Ferrovias</t>
  </si>
  <si>
    <t>Itens</t>
  </si>
  <si>
    <t>Adotado</t>
  </si>
  <si>
    <t>MÍN</t>
  </si>
  <si>
    <t>MÁX</t>
  </si>
  <si>
    <t>1 - Construção de Edifícios</t>
  </si>
  <si>
    <t>MIN</t>
  </si>
  <si>
    <t>AC</t>
  </si>
  <si>
    <t>ADM CENTRAL</t>
  </si>
  <si>
    <t>1a</t>
  </si>
  <si>
    <t>S+G</t>
  </si>
  <si>
    <t>SEGURO E GARANTIA</t>
  </si>
  <si>
    <t>3 - Construção de Redes de Abastecimento de Água, Coleta de Esgoto e Construções Correlatas</t>
  </si>
  <si>
    <t>1b</t>
  </si>
  <si>
    <t>R</t>
  </si>
  <si>
    <t>RISCO</t>
  </si>
  <si>
    <t>4 - Construção e Manutenção de Estações e Redes de Distribuição de Energia Elétrica</t>
  </si>
  <si>
    <t>1c</t>
  </si>
  <si>
    <t>DF</t>
  </si>
  <si>
    <t xml:space="preserve"> DESP. FINANCEIRAS</t>
  </si>
  <si>
    <t>5 - Obras Portuárias, Marítimas e Fluviais</t>
  </si>
  <si>
    <t>1d</t>
  </si>
  <si>
    <t>L</t>
  </si>
  <si>
    <t>LUCRO</t>
  </si>
  <si>
    <t>6 - Fornecimento de Materiais e Equipamentos</t>
  </si>
  <si>
    <t>1e</t>
  </si>
  <si>
    <t>I</t>
  </si>
  <si>
    <t>conf. Legislação</t>
  </si>
  <si>
    <t>2a</t>
  </si>
  <si>
    <t>ISSQN (Alíquota x %Base de cálculo)</t>
  </si>
  <si>
    <t>CPRB (p/ desonerado)</t>
  </si>
  <si>
    <t>IMPOSTOS (Desonerado)</t>
  </si>
  <si>
    <t>2b</t>
  </si>
  <si>
    <t>2c</t>
  </si>
  <si>
    <t>Fórmula do BDI</t>
  </si>
  <si>
    <t>2d</t>
  </si>
  <si>
    <t>BDI =</t>
  </si>
  <si>
    <t>(1 + AC + S + G + R) * (1 + DF) * (1 + L)</t>
  </si>
  <si>
    <t>2e</t>
  </si>
  <si>
    <t>(1 - I)</t>
  </si>
  <si>
    <t>3a</t>
  </si>
  <si>
    <t>3b</t>
  </si>
  <si>
    <t>BDI Resultante</t>
  </si>
  <si>
    <t>3c</t>
  </si>
  <si>
    <t>3d</t>
  </si>
  <si>
    <t>BDI Desonerado:</t>
  </si>
  <si>
    <t>3e</t>
  </si>
  <si>
    <t>IMPORTANTE: Se o percentual total do BDI exceder o máximo previsto pelo Acórdão 2622/20013, o detalhamento do BDI deve ser acompanhado de relatório técnico circunstanciado, justificando a adoção do percentual adotado para cada parcela do BDI, assinado pelo profissional responsável técnico do orçamento, usando como diretriz os percentuais máximos e mínimos previstos para cada item.</t>
  </si>
  <si>
    <t>* O BDI máximo pode ser ultrapassado nos casos em que a empresa vencedora da licitação se enquadre na desoneração (conforme Medida Provisória 601/2012). Neste caso, após definir o BDI "sem desoneração" respeitando os limites das tabelas acima, o cálculo do BDI "desonerado" é feito acrescentando 2% ao item "I - PIS, COFINS e ISSQN", sem alterar as demais parcelas da fórmula.</t>
  </si>
  <si>
    <t>4b</t>
  </si>
  <si>
    <t>* IMPORTANTE: Esta planilha foi desenvolvida para abranger às situações mais comuns. Poderá haver situações em que este modelo não se aplica. Não é obrigatório o uso desta planilha.</t>
  </si>
  <si>
    <t>4c</t>
  </si>
  <si>
    <t>4d</t>
  </si>
  <si>
    <t>4e</t>
  </si>
  <si>
    <t>5a</t>
  </si>
  <si>
    <t>5b</t>
  </si>
  <si>
    <t>5c</t>
  </si>
  <si>
    <t>5d</t>
  </si>
  <si>
    <t>5e</t>
  </si>
  <si>
    <t>6a</t>
  </si>
  <si>
    <t>6b</t>
  </si>
  <si>
    <t>6c</t>
  </si>
  <si>
    <t>6d</t>
  </si>
  <si>
    <t>6e</t>
  </si>
  <si>
    <t>1f</t>
  </si>
  <si>
    <t>2f</t>
  </si>
  <si>
    <t>3f</t>
  </si>
  <si>
    <t>4f</t>
  </si>
  <si>
    <t>5f</t>
  </si>
  <si>
    <t>6f</t>
  </si>
  <si>
    <t>Declaração</t>
  </si>
  <si>
    <t>Composição do BDI (conforme Acórdão 2622/2013 TCU)</t>
  </si>
  <si>
    <t>TIPO DE OBRA:</t>
  </si>
  <si>
    <t>DESP. FINANCEIRAS</t>
  </si>
  <si>
    <t>ISSQN (Aliquota x %Base de cálculo)</t>
  </si>
  <si>
    <t>4a</t>
  </si>
  <si>
    <t>Quantidade
(unid.)</t>
  </si>
  <si>
    <t>Área Unit.
(m²)</t>
  </si>
  <si>
    <t>Sinalização Vertical de Regulamentação</t>
  </si>
  <si>
    <t>Placas fixadas</t>
  </si>
  <si>
    <t>ACESSIBILIDADE</t>
  </si>
  <si>
    <t>TOTAL GERAL DO ORÇAMENTO</t>
  </si>
  <si>
    <t>Empolamento
(adimensional)</t>
  </si>
  <si>
    <t>Bloco de concreto pré-moldado, 35 Mpa, e=6cm c/base e rejunte com pó de pedra - adensado</t>
  </si>
  <si>
    <t>Nº de Hastes
(unid.)</t>
  </si>
  <si>
    <t>Volume Unitário (m³)</t>
  </si>
  <si>
    <t>Altura Fixada Haste (m)</t>
  </si>
  <si>
    <t>Volume Total
Hastes (m³)</t>
  </si>
  <si>
    <t>Volume Total
Cavas (m³)</t>
  </si>
  <si>
    <t>Volume Total
Concreto (m³)</t>
  </si>
  <si>
    <t>QUANTIDADE</t>
  </si>
  <si>
    <t>CP</t>
  </si>
  <si>
    <t>MEMÓRIA DE CÁLCULO: GLOBAL</t>
  </si>
  <si>
    <t>Referência</t>
  </si>
  <si>
    <t>Código</t>
  </si>
  <si>
    <t>UNIDADE</t>
  </si>
  <si>
    <t>VALOR UNITÁRIO</t>
  </si>
  <si>
    <t>TOTAL DO ITEM 1</t>
  </si>
  <si>
    <t>TOTAL DO ITEM 2</t>
  </si>
  <si>
    <t>TOTAL DO ITEM 5</t>
  </si>
  <si>
    <t>Unidade:</t>
  </si>
  <si>
    <t>Custo Unitário Total (A)+(B)</t>
  </si>
  <si>
    <t>mês</t>
  </si>
  <si>
    <t>C.Unitário</t>
  </si>
  <si>
    <t>Custo Total</t>
  </si>
  <si>
    <t>Quantid.</t>
  </si>
  <si>
    <t>Mão de Obra</t>
  </si>
  <si>
    <t>Engenheiro Civil de obra, pleno, com encargos complementares</t>
  </si>
  <si>
    <t>h/dia</t>
  </si>
  <si>
    <t>h/mês</t>
  </si>
  <si>
    <t>Mestre de obras com encargos complementares</t>
  </si>
  <si>
    <t>Período</t>
  </si>
  <si>
    <t>(B) Total da Mão de obra</t>
  </si>
  <si>
    <t>Servente com encargos complementares</t>
  </si>
  <si>
    <t>Referências de Preço - Insumos e Composições</t>
  </si>
  <si>
    <t>% ITEM</t>
  </si>
  <si>
    <t>Quantidade:</t>
  </si>
  <si>
    <t>MEIOS-FIOS DE CONCRETO PRÉ-MOLDADO</t>
  </si>
  <si>
    <t>Valor Total</t>
  </si>
  <si>
    <t>Administração local de pessoal técnico e administrativo</t>
  </si>
  <si>
    <t>3.1.1</t>
  </si>
  <si>
    <t>3.2.1</t>
  </si>
  <si>
    <t>3.3.1</t>
  </si>
  <si>
    <t>TOTAL DO ITEM 3.3</t>
  </si>
  <si>
    <t>TOTAL DO ITEM 3</t>
  </si>
  <si>
    <t>TOTAL DO ITEM 3.1</t>
  </si>
  <si>
    <t>TOTAL DO ITEM 3.2</t>
  </si>
  <si>
    <t>PAVICON</t>
  </si>
  <si>
    <t>RIO BONITO</t>
  </si>
  <si>
    <t>Execução de meio-fio pré-moldado (1,00x0,30x0,13x0,15), inclus. carga, transporte</t>
  </si>
  <si>
    <t>Escavação manual de valas - material de 1ª categoria</t>
  </si>
  <si>
    <t>5.1</t>
  </si>
  <si>
    <t>MEMÓRIA DE CÁLCULO: D.M.T</t>
  </si>
  <si>
    <t>Jazidas de Pedras</t>
  </si>
  <si>
    <t>*Conforme planilha de cálculo D.M.T.</t>
  </si>
  <si>
    <t>ORÇAMENTO GLOBAL - ESTIMATIVA DE CUSTO</t>
  </si>
  <si>
    <t>PISTA DE ROLAMENTO</t>
  </si>
  <si>
    <t>Pó de pedra (5cm)</t>
  </si>
  <si>
    <t>PASSEIO PÚBLICO</t>
  </si>
  <si>
    <t>Transporte de pó de pedra</t>
  </si>
  <si>
    <t>TOTAL DO ITEM 4</t>
  </si>
  <si>
    <t>SULTEPA</t>
  </si>
  <si>
    <t>Lindolfo Collor</t>
  </si>
  <si>
    <t>Lindolfo Collor, RS</t>
  </si>
  <si>
    <t>Execução de via - Bloco de concreto pré-moldado, 35 Mpa, e=8cm c/base e rejunte com pó de pedra - adensado</t>
  </si>
  <si>
    <t>CRONOGRAMA FÍSICO-FINANCEIRO (GLOBAL)</t>
  </si>
  <si>
    <t>Observação: inclui o rebaixo nas travessias com rebaixo de calçada. Projeto de Acessibilidade).</t>
  </si>
  <si>
    <t>Execução de meio-fio pré-moldado (1,00x0,20x0,13x0,15), inclus. carga, transporte</t>
  </si>
  <si>
    <t>Transporte de material, com caminhão basculante. Até 30 km</t>
  </si>
  <si>
    <t>(A) Total da Mão de Obra</t>
  </si>
  <si>
    <t>Materiais</t>
  </si>
  <si>
    <t>(B) Total dos Materiais</t>
  </si>
  <si>
    <t>Fornecimento e colocação de piso tátil-concreto pré-moldado - e= 2,5 cm(direc/alerta)</t>
  </si>
  <si>
    <t>Ladrilhista com encargos complementares</t>
  </si>
  <si>
    <t>Rejunte cimentício</t>
  </si>
  <si>
    <t>kg</t>
  </si>
  <si>
    <t>Argamassa colante AC-2</t>
  </si>
  <si>
    <t>Comprimento
(m)</t>
  </si>
  <si>
    <t>Mão de obra elaborada com base na Composição SINAPI nº 74209/1</t>
  </si>
  <si>
    <t>Materiais e composições</t>
  </si>
  <si>
    <t>Placa da obra em chapa de aço galvanizado, colocada</t>
  </si>
  <si>
    <t>Carpinteiro com encargos complentares</t>
  </si>
  <si>
    <t xml:space="preserve">Sarrafo não aparelhado 2,5 x 7,00 cm </t>
  </si>
  <si>
    <t>Prego aço c/cabeça 18x30</t>
  </si>
  <si>
    <t>Concreto magro</t>
  </si>
  <si>
    <t>Placa da obra em chapa de aço galvanizado</t>
  </si>
  <si>
    <t>Locação de container c/banheiro</t>
  </si>
  <si>
    <t>Locação topográfica para pavimentação(pista e passeio)</t>
  </si>
  <si>
    <t>Caminhão basculante 6 m³</t>
  </si>
  <si>
    <t>Piso tátil, direcional e alerta - concreto 20x20x2,5 cm</t>
  </si>
  <si>
    <t xml:space="preserve">TOTAL </t>
  </si>
  <si>
    <t>SOMA</t>
  </si>
  <si>
    <t xml:space="preserve">R$ </t>
  </si>
  <si>
    <t xml:space="preserve">% </t>
  </si>
  <si>
    <t>Placa aço esmaltado - identificação de rua - 45 x 20 cm</t>
  </si>
  <si>
    <t>(m)</t>
  </si>
  <si>
    <t>Compr (m)</t>
  </si>
  <si>
    <t>Larg (m)</t>
  </si>
  <si>
    <t>Área 
(m²)</t>
  </si>
  <si>
    <t>Volume
 (m³)</t>
  </si>
  <si>
    <t>Comp (m)</t>
  </si>
  <si>
    <t>(m³)</t>
  </si>
  <si>
    <t>Passeio sul</t>
  </si>
  <si>
    <t>Passeio norte</t>
  </si>
  <si>
    <t>Comp 
(m)</t>
  </si>
  <si>
    <t>Larg med
(m)</t>
  </si>
  <si>
    <t>SINALIZAÇÃO VERTICAL ( Trânsito e identificação de rua)</t>
  </si>
  <si>
    <t>Trânsito</t>
  </si>
  <si>
    <t>Largura 1
(m)</t>
  </si>
  <si>
    <t>Largura 2
(m)</t>
  </si>
  <si>
    <t>Área base haste
(m²)</t>
  </si>
  <si>
    <t>Soma</t>
  </si>
  <si>
    <t>RAMPAS DE ACESSIBILIDADE</t>
  </si>
  <si>
    <t>Área total
(m²)</t>
  </si>
  <si>
    <t>Qte
(unid)</t>
  </si>
  <si>
    <t>Espessura             (m)</t>
  </si>
  <si>
    <t>Suporte de aço galvanizado para haste de 2"</t>
  </si>
  <si>
    <t>Medido pelo projeto</t>
  </si>
  <si>
    <t>Total pista 
(m)</t>
  </si>
  <si>
    <t>Total contenção pista
(m)</t>
  </si>
  <si>
    <t>Área pista (m²)</t>
  </si>
  <si>
    <t>Área total(m²)</t>
  </si>
  <si>
    <t>Pó de pedra (4cm)</t>
  </si>
  <si>
    <t>3.3.2</t>
  </si>
  <si>
    <t>Total nos lotes baldios
(m)</t>
  </si>
  <si>
    <t>Total geral
(m)</t>
  </si>
  <si>
    <t>Fornecimento e colocação de piso tátil-concreto pré-moldado - e= 2,5 cm(alerta)</t>
  </si>
  <si>
    <t>Gaspar Behne</t>
  </si>
  <si>
    <t>538.827.500-06</t>
  </si>
  <si>
    <t>PROJETO EXECUTIVO DE PAVIMENTAÇÃO URBANA, SINALIZAÇÃO VIÁRIA E ACESSIBILIDADE</t>
  </si>
  <si>
    <t>Pontalete não aparelhada 7,5 x 7,50 cm</t>
  </si>
  <si>
    <t>Suporte metálico D=2'' parede 3mm  galvanizado a fogo</t>
  </si>
  <si>
    <t xml:space="preserve"> BASE </t>
  </si>
  <si>
    <t>Caixa de boca de lobo 60x120 (internamente) pre mold ou alvenaria , com tampa de concreto armado</t>
  </si>
  <si>
    <t>Execução de base de brita graduada c/fornecimento de material s/transporte</t>
  </si>
  <si>
    <t>Espessura (m)</t>
  </si>
  <si>
    <t>Volume 
(m²)</t>
  </si>
  <si>
    <t>Brita graduada</t>
  </si>
  <si>
    <t>Volume           (m³)</t>
  </si>
  <si>
    <t>Regularização e compactação de subleito, até 20 cm de espessura - Mecanizada</t>
  </si>
  <si>
    <r>
      <t>Observações:</t>
    </r>
    <r>
      <rPr>
        <sz val="11"/>
        <color theme="1"/>
        <rFont val="Calibri"/>
        <family val="2"/>
        <scheme val="minor"/>
      </rPr>
      <t xml:space="preserve"> foi utilizada a media aritimética dos valores para a definição da Distância de Transporte - D.M.T.</t>
    </r>
  </si>
  <si>
    <t xml:space="preserve">                                                                                                                                                                                                                                                            </t>
  </si>
  <si>
    <t>Entrada veículos
(m)</t>
  </si>
  <si>
    <t>6.1</t>
  </si>
  <si>
    <t>Reaterro com material da escavação</t>
  </si>
  <si>
    <t>TOTAL DO ITEM 6</t>
  </si>
  <si>
    <t>3.1.2</t>
  </si>
  <si>
    <t>3.1.3</t>
  </si>
  <si>
    <t>4.2</t>
  </si>
  <si>
    <t>4.3</t>
  </si>
  <si>
    <t>4.4</t>
  </si>
  <si>
    <t>SINALIZAÇÃO VERTICAL</t>
  </si>
  <si>
    <t>5.2</t>
  </si>
  <si>
    <t>5.3</t>
  </si>
  <si>
    <t>5.4</t>
  </si>
  <si>
    <t>6.2</t>
  </si>
  <si>
    <t xml:space="preserve">BASE </t>
  </si>
  <si>
    <t>l</t>
  </si>
  <si>
    <t>Pedreiro  com encargos complementares</t>
  </si>
  <si>
    <t>Total
(m)</t>
  </si>
  <si>
    <t>Altura total
(m)</t>
  </si>
  <si>
    <t>RUA BENNO JOHAN HEINLE - EXTENSÃO 125,00 m  - BAIRRO INDUSTRIAL - LINDOLFO COLLOR, RS</t>
  </si>
  <si>
    <t>Pista rolamento (2 lados)</t>
  </si>
  <si>
    <t>Marcação de pontos em gabarito ou cavalete</t>
  </si>
  <si>
    <t>Execução de pavimento em piso intertravado, com bloco retangular cor natural de 20 x 10 cm, espessura 8cm</t>
  </si>
  <si>
    <t>Rua Benno Johan Heinle</t>
  </si>
  <si>
    <t>Wiliam Eduardo Weiler</t>
  </si>
  <si>
    <t>Engº Civil Wiliam Eduardo Weiler</t>
  </si>
  <si>
    <t>Resp. Técnico - CREA RS 149.345</t>
  </si>
  <si>
    <t>Planilha SINAPI de custo de insumos - Não desonerado. Referência.: abril/2025 - CAIXA, RS</t>
  </si>
  <si>
    <t>Planilha SINAPI de custo de composições - Não desonerado. Referência.: abril/2025 - CAIXA, RS</t>
  </si>
  <si>
    <t>4.5</t>
  </si>
  <si>
    <t>Aterro mecanizado de vala com retroescavadeira (capacidade da caçamba da retro: 0,26m³ / potência: 88HP), largura até 1,50m, profundidade de 1,50 a 3,0m, com solo argilo-arenoso</t>
  </si>
  <si>
    <t>Execução de passeio em piso intertravado, com bloco retangular cor natural de 20 x 10cm, espessura de 6cm</t>
  </si>
  <si>
    <t>5.5</t>
  </si>
  <si>
    <t>Suporte para tubo diâmetro nominal 2", com rosca mecânica</t>
  </si>
  <si>
    <t>unid.</t>
  </si>
  <si>
    <t>Engenheiro civil de obra junior com encargos complementares</t>
  </si>
  <si>
    <t>Volume Aterro
(m³)</t>
  </si>
  <si>
    <t>R1</t>
  </si>
  <si>
    <t>Contrato de Repasse 939612/2025 Operação 1085634-24</t>
  </si>
  <si>
    <t>7.1</t>
  </si>
  <si>
    <t>7.2</t>
  </si>
  <si>
    <t>DRENAGEM</t>
  </si>
  <si>
    <t>6.3</t>
  </si>
  <si>
    <t>TOTAL DO ITEM 7</t>
  </si>
  <si>
    <t>Qtd (unid.)</t>
  </si>
  <si>
    <t>CP 01 - Administração local de pessoal técnico e administrativo</t>
  </si>
  <si>
    <t>CP 02 - Placa aço esmaltado - identificação de rua - 45 x 20 cm</t>
  </si>
  <si>
    <t>CP 03 - Fornecimento e colocação de piso tátil-concreto pré-moldado - e= 2,5 cm (direc/alerta)</t>
  </si>
  <si>
    <t>CP 04 - Placa da obra em chapa de aço galvanizado, colocada</t>
  </si>
  <si>
    <t>VALOR</t>
  </si>
  <si>
    <t>MEIO-FIO DE CONCRETO PRÉ-MOLDADO</t>
  </si>
  <si>
    <t>Pavicon - Novo Hamburgo</t>
  </si>
  <si>
    <t xml:space="preserve">Britagem Rio Bonito - </t>
  </si>
  <si>
    <t>Sultepa  - Estância Velha</t>
  </si>
  <si>
    <t>Composição SEINFRA - C4550</t>
  </si>
  <si>
    <t>Tipo</t>
  </si>
  <si>
    <t>Unidade</t>
  </si>
  <si>
    <t>Valor com Desoneração</t>
  </si>
  <si>
    <t>codigo</t>
  </si>
  <si>
    <t>Coeficiente</t>
  </si>
  <si>
    <t xml:space="preserve"> I0041 </t>
  </si>
  <si>
    <t>AJUDANTE DE CARPINTEIRO</t>
  </si>
  <si>
    <t>H</t>
  </si>
  <si>
    <t>19,10</t>
  </si>
  <si>
    <t>1,0</t>
  </si>
  <si>
    <t xml:space="preserve"> I0498 </t>
  </si>
  <si>
    <t>CARPINTEIRO</t>
  </si>
  <si>
    <t>24,16</t>
  </si>
  <si>
    <t>0,25</t>
  </si>
  <si>
    <t xml:space="preserve"> I8427 </t>
  </si>
  <si>
    <t>COMPRESSOR DE AR P/ PINTURA</t>
  </si>
  <si>
    <t>Equipamento</t>
  </si>
  <si>
    <t>1,47</t>
  </si>
  <si>
    <t>0,125</t>
  </si>
  <si>
    <t xml:space="preserve"> I1061 </t>
  </si>
  <si>
    <t>ELETRODOS</t>
  </si>
  <si>
    <t>Material</t>
  </si>
  <si>
    <t>KG</t>
  </si>
  <si>
    <t>32,44</t>
  </si>
  <si>
    <t>0,003</t>
  </si>
  <si>
    <t xml:space="preserve"> I0628 </t>
  </si>
  <si>
    <t>GRUPO GERADOR 36 KVA (CHI)</t>
  </si>
  <si>
    <t>27,55</t>
  </si>
  <si>
    <t>0,1</t>
  </si>
  <si>
    <t xml:space="preserve"> I0742 </t>
  </si>
  <si>
    <t>GRUPO GERADOR 36 KVA (CHP)</t>
  </si>
  <si>
    <t>65,33</t>
  </si>
  <si>
    <t>0,15</t>
  </si>
  <si>
    <t xml:space="preserve"> I1346 </t>
  </si>
  <si>
    <t>LIXA PARA FERRO</t>
  </si>
  <si>
    <t>UN</t>
  </si>
  <si>
    <t>2,14</t>
  </si>
  <si>
    <t>2,0</t>
  </si>
  <si>
    <t xml:space="preserve"> I8426 </t>
  </si>
  <si>
    <t>LIXADEIRA</t>
  </si>
  <si>
    <t>0,20</t>
  </si>
  <si>
    <t xml:space="preserve"> I0635 </t>
  </si>
  <si>
    <t>MÁQUINA DE SOLDA (CHI)</t>
  </si>
  <si>
    <t>0,06</t>
  </si>
  <si>
    <t>0,2</t>
  </si>
  <si>
    <t xml:space="preserve"> I0749 </t>
  </si>
  <si>
    <t>MÁQUINA DE SOLDA (CHP)</t>
  </si>
  <si>
    <t>0,10</t>
  </si>
  <si>
    <t>0,05</t>
  </si>
  <si>
    <t xml:space="preserve"> I1530 </t>
  </si>
  <si>
    <t>MONTADOR</t>
  </si>
  <si>
    <t xml:space="preserve"> I2525 </t>
  </si>
  <si>
    <t>PARAFUSO C/PORCA E ARRUELA DE 1/4X1 1/2"</t>
  </si>
  <si>
    <t>0,60</t>
  </si>
  <si>
    <t xml:space="preserve"> I2526 </t>
  </si>
  <si>
    <t>PARAFUSO C/PORCA E ARRUELA DE 5/16X3 1/2"</t>
  </si>
  <si>
    <t>1,04</t>
  </si>
  <si>
    <t>3,0</t>
  </si>
  <si>
    <t xml:space="preserve"> I8429 </t>
  </si>
  <si>
    <t>PELÍCULA REFLETIVA LENTES INCLUSAS</t>
  </si>
  <si>
    <t>125,83</t>
  </si>
  <si>
    <t>1,4</t>
  </si>
  <si>
    <t xml:space="preserve"> I2395 </t>
  </si>
  <si>
    <t>PINTOR</t>
  </si>
  <si>
    <t>0,375</t>
  </si>
  <si>
    <t xml:space="preserve"> I0198 </t>
  </si>
  <si>
    <t>PONTALETE / BARROTE DE 3"x3" - APARELHADO</t>
  </si>
  <si>
    <t>M</t>
  </si>
  <si>
    <t>22,11</t>
  </si>
  <si>
    <t xml:space="preserve"> I8428 </t>
  </si>
  <si>
    <t>TINTA ANTI-CORROSIVA</t>
  </si>
  <si>
    <t>33,22</t>
  </si>
  <si>
    <t>0,53</t>
  </si>
  <si>
    <t xml:space="preserve"> I2500 </t>
  </si>
  <si>
    <t>TINTA ESMALTE SINTETICO</t>
  </si>
  <si>
    <t>31,81</t>
  </si>
  <si>
    <t>0,86</t>
  </si>
  <si>
    <t xml:space="preserve"> I2542 </t>
  </si>
  <si>
    <t>TRAVESSA DE MADEIRA C/SECAO DE 3"X1 1/2"</t>
  </si>
  <si>
    <t>10,49</t>
  </si>
  <si>
    <t>CP 05 - PLACA DE SINALIZAÇÃO REFLETIVA COM REAPROVEITAMENTO DE CHAPA DE AÇO</t>
  </si>
  <si>
    <t>TOTAL</t>
  </si>
  <si>
    <t>PARCELA 1</t>
  </si>
  <si>
    <t>PARCELA 2</t>
  </si>
  <si>
    <t>2 meses</t>
  </si>
  <si>
    <t>meses</t>
  </si>
  <si>
    <t>Placa de sinalização refletiva com reaproveitamento de chapa de aço</t>
  </si>
  <si>
    <t>Engº Civil</t>
  </si>
  <si>
    <t xml:space="preserve">Resp. Técnico - CREA 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</si>
</sst>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R$&quot;\ * #,##0.00_-;\-&quot;R$&quot;\ * #,##0.00_-;_-&quot;R$&quot;\ * &quot;-&quot;??_-;_-@_-"/>
    <numFmt numFmtId="43" formatCode="_-* #,##0.00_-;\-* #,##0.00_-;_-* &quot;-&quot;??_-;_-@_-"/>
    <numFmt numFmtId="164" formatCode="mmmm/yyyy"/>
    <numFmt numFmtId="165" formatCode="&quot;c/ BDI&quot;\ 0.00&quot;%&quot;"/>
    <numFmt numFmtId="166" formatCode="0.00\ &quot;%&quot;"/>
    <numFmt numFmtId="167" formatCode="_(* #,##0.00_);_(* \(#,##0.00\);_(* &quot;-&quot;??_);_(@_)"/>
    <numFmt numFmtId="168" formatCode="#,##0.000"/>
    <numFmt numFmtId="169" formatCode="0.0000"/>
    <numFmt numFmtId="170" formatCode="_(&quot;R$ &quot;* #,##0.00_);_(&quot;R$ &quot;* \(#,##0.00\);_(&quot;R$ &quot;* &quot;-&quot;??_);_(@_)"/>
    <numFmt numFmtId="171" formatCode="#,##0.00000"/>
    <numFmt numFmtId="172" formatCode="#,##0.0000"/>
    <numFmt numFmtId="173" formatCode="#,##0.0"/>
    <numFmt numFmtId="174" formatCode="_-&quot;R$&quot;\ * #,##0.000_-;\-&quot;R$&quot;\ * #,##0.000_-;_-&quot;R$&quot;\ * &quot;-&quot;??_-;_-@_-"/>
  </numFmts>
  <fonts count="32"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0"/>
      <name val="Arial"/>
      <family val="2"/>
    </font>
    <font>
      <sz val="10"/>
      <color indexed="9"/>
      <name val="Arial"/>
      <family val="2"/>
    </font>
    <font>
      <sz val="10"/>
      <color indexed="10"/>
      <name val="Arial"/>
      <family val="2"/>
    </font>
    <font>
      <b/>
      <sz val="12"/>
      <color indexed="9"/>
      <name val="Arial"/>
      <family val="2"/>
    </font>
    <font>
      <b/>
      <sz val="8"/>
      <name val="Arial"/>
      <family val="2"/>
    </font>
    <font>
      <b/>
      <sz val="10"/>
      <color indexed="9"/>
      <name val="Arial"/>
      <family val="2"/>
    </font>
    <font>
      <sz val="12"/>
      <name val="Arial"/>
      <family val="2"/>
    </font>
    <font>
      <sz val="8"/>
      <name val="Arial"/>
      <family val="2"/>
    </font>
    <font>
      <sz val="9"/>
      <name val="Calibri"/>
      <family val="2"/>
    </font>
    <font>
      <b/>
      <sz val="14"/>
      <name val="Times New Roman"/>
      <family val="1"/>
    </font>
    <font>
      <sz val="10"/>
      <name val="Times New Roman"/>
      <family val="1"/>
    </font>
    <font>
      <sz val="11"/>
      <name val="Times New Roman"/>
      <family val="1"/>
    </font>
    <font>
      <b/>
      <sz val="11"/>
      <color indexed="9"/>
      <name val="Times New Roman"/>
      <family val="1"/>
    </font>
    <font>
      <b/>
      <sz val="12"/>
      <color indexed="9"/>
      <name val="Times New Roman"/>
      <family val="1"/>
    </font>
    <font>
      <b/>
      <sz val="8"/>
      <name val="Times New Roman"/>
      <family val="1"/>
    </font>
    <font>
      <b/>
      <sz val="10"/>
      <name val="Times New Roman"/>
      <family val="1"/>
    </font>
    <font>
      <b/>
      <sz val="10"/>
      <color indexed="9"/>
      <name val="Times New Roman"/>
      <family val="1"/>
    </font>
    <font>
      <sz val="8"/>
      <name val="Times New Roman"/>
      <family val="1"/>
    </font>
    <font>
      <sz val="12"/>
      <name val="Times New Roman"/>
      <family val="1"/>
    </font>
    <font>
      <b/>
      <sz val="10"/>
      <color rgb="FF000000"/>
      <name val="Arial"/>
      <family val="2"/>
    </font>
    <font>
      <sz val="11"/>
      <name val="Calibri"/>
      <family val="2"/>
      <scheme val="minor"/>
    </font>
    <font>
      <b/>
      <sz val="11"/>
      <name val="Calibri"/>
      <family val="2"/>
      <scheme val="minor"/>
    </font>
    <font>
      <b/>
      <sz val="13"/>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b/>
      <sz val="11"/>
      <name val="Arial"/>
      <family val="1"/>
    </font>
    <font>
      <sz val="10"/>
      <color rgb="FF000000"/>
      <name val="Arial"/>
      <family val="1"/>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23"/>
        <bgColor indexed="64"/>
      </patternFill>
    </fill>
    <fill>
      <patternFill patternType="solid">
        <fgColor rgb="FF92D050"/>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F7F3DF"/>
        <bgColor rgb="FFF7F3DF"/>
      </patternFill>
    </fill>
  </fills>
  <borders count="1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medium">
        <color indexed="64"/>
      </right>
      <top/>
      <bottom style="medium">
        <color indexed="64"/>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hair">
        <color auto="1"/>
      </right>
      <top style="hair">
        <color auto="1"/>
      </top>
      <bottom style="thin">
        <color indexed="64"/>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hair">
        <color auto="1"/>
      </right>
      <top/>
      <bottom style="medium">
        <color indexed="64"/>
      </bottom>
      <diagonal/>
    </border>
    <border>
      <left style="medium">
        <color indexed="64"/>
      </left>
      <right/>
      <top style="medium">
        <color indexed="64"/>
      </top>
      <bottom style="thin">
        <color indexed="64"/>
      </bottom>
      <diagonal/>
    </border>
    <border>
      <left style="hair">
        <color auto="1"/>
      </left>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auto="1"/>
      </left>
      <right style="hair">
        <color auto="1"/>
      </right>
      <top style="hair">
        <color auto="1"/>
      </top>
      <bottom/>
      <diagonal/>
    </border>
    <border>
      <left style="medium">
        <color indexed="64"/>
      </left>
      <right style="hair">
        <color auto="1"/>
      </right>
      <top style="thin">
        <color indexed="64"/>
      </top>
      <bottom style="hair">
        <color auto="1"/>
      </bottom>
      <diagonal/>
    </border>
    <border>
      <left/>
      <right/>
      <top style="thin">
        <color indexed="64"/>
      </top>
      <bottom style="medium">
        <color indexed="64"/>
      </bottom>
      <diagonal/>
    </border>
    <border>
      <left/>
      <right/>
      <top/>
      <bottom style="thin">
        <color indexed="64"/>
      </bottom>
      <diagonal/>
    </border>
    <border>
      <left/>
      <right style="hair">
        <color auto="1"/>
      </right>
      <top style="thin">
        <color indexed="64"/>
      </top>
      <bottom style="hair">
        <color auto="1"/>
      </bottom>
      <diagonal/>
    </border>
    <border>
      <left style="thin">
        <color indexed="64"/>
      </left>
      <right/>
      <top/>
      <bottom style="medium">
        <color indexed="64"/>
      </bottom>
      <diagonal/>
    </border>
    <border>
      <left style="hair">
        <color auto="1"/>
      </left>
      <right style="hair">
        <color auto="1"/>
      </right>
      <top style="medium">
        <color indexed="64"/>
      </top>
      <bottom/>
      <diagonal/>
    </border>
    <border>
      <left style="hair">
        <color auto="1"/>
      </left>
      <right/>
      <top style="medium">
        <color indexed="64"/>
      </top>
      <bottom style="hair">
        <color auto="1"/>
      </bottom>
      <diagonal/>
    </border>
    <border>
      <left/>
      <right style="hair">
        <color auto="1"/>
      </right>
      <top style="medium">
        <color indexed="64"/>
      </top>
      <bottom style="hair">
        <color auto="1"/>
      </bottom>
      <diagonal/>
    </border>
    <border>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auto="1"/>
      </left>
      <right style="medium">
        <color indexed="64"/>
      </right>
      <top style="medium">
        <color indexed="64"/>
      </top>
      <bottom/>
      <diagonal/>
    </border>
    <border>
      <left style="hair">
        <color auto="1"/>
      </left>
      <right style="medium">
        <color indexed="64"/>
      </right>
      <top style="hair">
        <color auto="1"/>
      </top>
      <bottom style="medium">
        <color indexed="64"/>
      </bottom>
      <diagonal/>
    </border>
    <border>
      <left/>
      <right/>
      <top style="medium">
        <color indexed="64"/>
      </top>
      <bottom style="hair">
        <color auto="1"/>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bottom style="medium">
        <color indexed="64"/>
      </bottom>
      <diagonal/>
    </border>
    <border>
      <left/>
      <right style="hair">
        <color auto="1"/>
      </right>
      <top/>
      <bottom style="medium">
        <color indexed="64"/>
      </bottom>
      <diagonal/>
    </border>
    <border>
      <left/>
      <right/>
      <top style="hair">
        <color auto="1"/>
      </top>
      <bottom style="medium">
        <color indexed="64"/>
      </bottom>
      <diagonal/>
    </border>
    <border>
      <left style="medium">
        <color indexed="64"/>
      </left>
      <right style="hair">
        <color auto="1"/>
      </right>
      <top/>
      <bottom style="hair">
        <color auto="1"/>
      </bottom>
      <diagonal/>
    </border>
    <border>
      <left style="hair">
        <color auto="1"/>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right style="hair">
        <color auto="1"/>
      </right>
      <top style="hair">
        <color auto="1"/>
      </top>
      <bottom style="medium">
        <color indexed="64"/>
      </bottom>
      <diagonal/>
    </border>
    <border>
      <left style="medium">
        <color indexed="64"/>
      </left>
      <right style="hair">
        <color auto="1"/>
      </right>
      <top style="medium">
        <color indexed="64"/>
      </top>
      <bottom style="medium">
        <color indexed="64"/>
      </bottom>
      <diagonal/>
    </border>
    <border>
      <left style="thin">
        <color rgb="FFCCCCCC"/>
      </left>
      <right style="thin">
        <color rgb="FFCCCCCC"/>
      </right>
      <top style="thin">
        <color rgb="FFCCCCCC"/>
      </top>
      <bottom style="thin">
        <color rgb="FFCCCCCC"/>
      </bottom>
      <diagonal/>
    </border>
    <border>
      <left style="medium">
        <color indexed="64"/>
      </left>
      <right style="thin">
        <color rgb="FFCCCCCC"/>
      </right>
      <top style="medium">
        <color indexed="64"/>
      </top>
      <bottom style="thin">
        <color rgb="FFCCCCCC"/>
      </bottom>
      <diagonal/>
    </border>
    <border>
      <left style="thin">
        <color rgb="FFCCCCCC"/>
      </left>
      <right style="thin">
        <color rgb="FFCCCCCC"/>
      </right>
      <top style="medium">
        <color indexed="64"/>
      </top>
      <bottom style="thin">
        <color rgb="FFCCCCCC"/>
      </bottom>
      <diagonal/>
    </border>
    <border>
      <left style="thin">
        <color rgb="FFCCCCCC"/>
      </left>
      <right style="medium">
        <color indexed="64"/>
      </right>
      <top style="medium">
        <color indexed="64"/>
      </top>
      <bottom style="thin">
        <color rgb="FFCCCCCC"/>
      </bottom>
      <diagonal/>
    </border>
    <border>
      <left style="medium">
        <color indexed="64"/>
      </left>
      <right style="thin">
        <color rgb="FFCCCCCC"/>
      </right>
      <top style="thin">
        <color rgb="FFCCCCCC"/>
      </top>
      <bottom style="thin">
        <color rgb="FFCCCCCC"/>
      </bottom>
      <diagonal/>
    </border>
    <border>
      <left style="thin">
        <color rgb="FFCCCCCC"/>
      </left>
      <right style="medium">
        <color indexed="64"/>
      </right>
      <top style="thin">
        <color rgb="FFCCCCCC"/>
      </top>
      <bottom style="thin">
        <color rgb="FFCCCCCC"/>
      </bottom>
      <diagonal/>
    </border>
    <border>
      <left style="medium">
        <color indexed="64"/>
      </left>
      <right style="thin">
        <color rgb="FFCCCCCC"/>
      </right>
      <top style="thin">
        <color rgb="FFCCCCCC"/>
      </top>
      <bottom style="medium">
        <color indexed="64"/>
      </bottom>
      <diagonal/>
    </border>
    <border>
      <left style="thin">
        <color rgb="FFCCCCCC"/>
      </left>
      <right style="thin">
        <color rgb="FFCCCCCC"/>
      </right>
      <top style="thin">
        <color rgb="FFCCCCCC"/>
      </top>
      <bottom style="medium">
        <color indexed="64"/>
      </bottom>
      <diagonal/>
    </border>
    <border>
      <left style="thin">
        <color rgb="FFCCCCCC"/>
      </left>
      <right style="medium">
        <color indexed="64"/>
      </right>
      <top style="thin">
        <color rgb="FFCCCCCC"/>
      </top>
      <bottom style="medium">
        <color indexed="64"/>
      </bottom>
      <diagonal/>
    </border>
    <border>
      <left style="medium">
        <color indexed="64"/>
      </left>
      <right style="thin">
        <color rgb="FFCCCCCC"/>
      </right>
      <top style="medium">
        <color indexed="64"/>
      </top>
      <bottom style="medium">
        <color indexed="64"/>
      </bottom>
      <diagonal/>
    </border>
    <border>
      <left style="thin">
        <color rgb="FFCCCCCC"/>
      </left>
      <right style="thin">
        <color rgb="FFCCCCCC"/>
      </right>
      <top style="medium">
        <color indexed="64"/>
      </top>
      <bottom style="medium">
        <color indexed="64"/>
      </bottom>
      <diagonal/>
    </border>
    <border>
      <left style="thin">
        <color rgb="FFCCCCCC"/>
      </left>
      <right style="medium">
        <color indexed="64"/>
      </right>
      <top style="medium">
        <color indexed="64"/>
      </top>
      <bottom style="medium">
        <color indexed="64"/>
      </bottom>
      <diagonal/>
    </border>
  </borders>
  <cellStyleXfs count="13">
    <xf numFmtId="0" fontId="0" fillId="0" borderId="0"/>
    <xf numFmtId="9" fontId="2" fillId="0" borderId="0" applyFont="0" applyFill="0" applyBorder="0" applyAlignment="0" applyProtection="0"/>
    <xf numFmtId="43" fontId="2" fillId="0" borderId="0" applyFont="0" applyFill="0" applyBorder="0" applyAlignment="0" applyProtection="0"/>
    <xf numFmtId="0" fontId="3" fillId="0" borderId="0"/>
    <xf numFmtId="0" fontId="3" fillId="0" borderId="0"/>
    <xf numFmtId="43" fontId="2" fillId="0" borderId="0" applyFont="0" applyFill="0" applyBorder="0" applyAlignment="0" applyProtection="0"/>
    <xf numFmtId="9"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0" fontId="3" fillId="0" borderId="0"/>
    <xf numFmtId="0" fontId="3" fillId="0" borderId="0"/>
    <xf numFmtId="167" fontId="3" fillId="0" borderId="0" applyFont="0" applyFill="0" applyBorder="0" applyAlignment="0" applyProtection="0"/>
    <xf numFmtId="44" fontId="2" fillId="0" borderId="0" applyFont="0" applyFill="0" applyBorder="0" applyAlignment="0" applyProtection="0"/>
  </cellStyleXfs>
  <cellXfs count="603">
    <xf numFmtId="0" fontId="0" fillId="0" borderId="0" xfId="0"/>
    <xf numFmtId="0" fontId="0" fillId="2" borderId="0" xfId="0" applyFill="1" applyAlignment="1">
      <alignment horizontal="right" vertical="center"/>
    </xf>
    <xf numFmtId="4" fontId="0" fillId="2" borderId="0" xfId="0" applyNumberFormat="1" applyFill="1" applyAlignment="1">
      <alignment horizontal="right" vertical="center"/>
    </xf>
    <xf numFmtId="0" fontId="0" fillId="2" borderId="0" xfId="0" applyFill="1" applyAlignment="1">
      <alignment vertical="center"/>
    </xf>
    <xf numFmtId="4" fontId="1" fillId="2" borderId="0" xfId="0" applyNumberFormat="1" applyFont="1" applyFill="1" applyAlignment="1">
      <alignment horizontal="center" vertical="center"/>
    </xf>
    <xf numFmtId="0" fontId="0" fillId="0" borderId="0" xfId="0" applyAlignment="1">
      <alignment vertical="center"/>
    </xf>
    <xf numFmtId="0" fontId="0" fillId="2" borderId="0" xfId="0" applyFill="1" applyAlignment="1">
      <alignment horizontal="center" vertical="center"/>
    </xf>
    <xf numFmtId="2" fontId="0" fillId="2" borderId="12" xfId="0" applyNumberForma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vertical="top"/>
    </xf>
    <xf numFmtId="0" fontId="1" fillId="2" borderId="0" xfId="0" applyFont="1" applyFill="1" applyAlignment="1">
      <alignment horizontal="center" vertical="center"/>
    </xf>
    <xf numFmtId="0" fontId="1" fillId="2" borderId="0" xfId="0" applyFont="1" applyFill="1" applyAlignment="1">
      <alignment horizontal="left" vertical="center"/>
    </xf>
    <xf numFmtId="2" fontId="1" fillId="2" borderId="0" xfId="0" applyNumberFormat="1" applyFont="1" applyFill="1" applyAlignment="1">
      <alignment horizontal="center" vertical="center"/>
    </xf>
    <xf numFmtId="2" fontId="0" fillId="2" borderId="0" xfId="0" applyNumberFormat="1" applyFill="1" applyAlignment="1">
      <alignment horizontal="center" vertical="center"/>
    </xf>
    <xf numFmtId="2" fontId="1" fillId="2" borderId="0" xfId="0" applyNumberFormat="1" applyFont="1" applyFill="1" applyAlignment="1">
      <alignment horizontal="center" vertical="center" wrapText="1"/>
    </xf>
    <xf numFmtId="2" fontId="0" fillId="2" borderId="12" xfId="0" applyNumberFormat="1" applyFill="1" applyBorder="1" applyAlignment="1">
      <alignment horizontal="center" vertical="center" wrapText="1"/>
    </xf>
    <xf numFmtId="2" fontId="0" fillId="2" borderId="0" xfId="0" applyNumberFormat="1" applyFill="1" applyAlignment="1">
      <alignment horizontal="center" vertical="center" wrapText="1"/>
    </xf>
    <xf numFmtId="0" fontId="4" fillId="3" borderId="0" xfId="3" applyFont="1" applyFill="1"/>
    <xf numFmtId="0" fontId="3" fillId="3" borderId="0" xfId="3" applyFill="1"/>
    <xf numFmtId="0" fontId="3" fillId="3" borderId="0" xfId="3" applyFill="1" applyAlignment="1">
      <alignment horizontal="center"/>
    </xf>
    <xf numFmtId="0" fontId="5" fillId="3" borderId="0" xfId="3" applyFont="1" applyFill="1"/>
    <xf numFmtId="0" fontId="6" fillId="3" borderId="0" xfId="3" applyFont="1" applyFill="1" applyAlignment="1">
      <alignment horizontal="center"/>
    </xf>
    <xf numFmtId="0" fontId="5" fillId="3" borderId="0" xfId="3" applyFont="1" applyFill="1" applyAlignment="1">
      <alignment horizontal="center"/>
    </xf>
    <xf numFmtId="0" fontId="3" fillId="3" borderId="0" xfId="3" applyFill="1" applyAlignment="1">
      <alignment horizontal="left"/>
    </xf>
    <xf numFmtId="0" fontId="3" fillId="4" borderId="13" xfId="3" applyFill="1" applyBorder="1" applyProtection="1">
      <protection locked="0"/>
    </xf>
    <xf numFmtId="0" fontId="3" fillId="4" borderId="11" xfId="3" applyFill="1" applyBorder="1" applyProtection="1">
      <protection locked="0"/>
    </xf>
    <xf numFmtId="0" fontId="6" fillId="3" borderId="0" xfId="3" applyFont="1" applyFill="1"/>
    <xf numFmtId="0" fontId="3" fillId="3" borderId="0" xfId="3" applyFill="1" applyAlignment="1" applyProtection="1">
      <alignment horizontal="left"/>
      <protection locked="0"/>
    </xf>
    <xf numFmtId="0" fontId="3" fillId="3" borderId="0" xfId="3" applyFill="1" applyProtection="1">
      <protection locked="0"/>
    </xf>
    <xf numFmtId="166" fontId="3" fillId="4" borderId="11" xfId="6" applyNumberFormat="1" applyFill="1" applyBorder="1" applyAlignment="1" applyProtection="1">
      <alignment horizontal="center"/>
      <protection locked="0"/>
    </xf>
    <xf numFmtId="167" fontId="3" fillId="4" borderId="11" xfId="7" applyFont="1" applyFill="1" applyBorder="1" applyAlignment="1" applyProtection="1">
      <alignment horizontal="center"/>
      <protection locked="0"/>
    </xf>
    <xf numFmtId="0" fontId="9" fillId="5" borderId="23" xfId="3" applyFont="1" applyFill="1" applyBorder="1" applyAlignment="1">
      <alignment horizontal="center"/>
    </xf>
    <xf numFmtId="0" fontId="9" fillId="5" borderId="24" xfId="3" applyFont="1" applyFill="1" applyBorder="1" applyAlignment="1">
      <alignment horizontal="center"/>
    </xf>
    <xf numFmtId="0" fontId="3" fillId="3" borderId="12" xfId="3" applyFill="1" applyBorder="1" applyAlignment="1">
      <alignment horizontal="center"/>
    </xf>
    <xf numFmtId="166" fontId="3" fillId="4" borderId="12" xfId="6" applyNumberFormat="1" applyFill="1" applyBorder="1" applyAlignment="1" applyProtection="1">
      <alignment horizontal="center"/>
      <protection locked="0"/>
    </xf>
    <xf numFmtId="166" fontId="3" fillId="3" borderId="12" xfId="3" applyNumberFormat="1" applyFill="1" applyBorder="1" applyAlignment="1">
      <alignment horizontal="center"/>
    </xf>
    <xf numFmtId="2" fontId="5" fillId="3" borderId="0" xfId="3" applyNumberFormat="1" applyFont="1" applyFill="1"/>
    <xf numFmtId="0" fontId="3" fillId="3" borderId="11" xfId="3" applyFill="1" applyBorder="1" applyAlignment="1">
      <alignment horizontal="center"/>
    </xf>
    <xf numFmtId="166" fontId="3" fillId="3" borderId="11" xfId="6" applyNumberFormat="1" applyFill="1" applyBorder="1" applyAlignment="1" applyProtection="1">
      <alignment horizontal="center"/>
    </xf>
    <xf numFmtId="0" fontId="3" fillId="3" borderId="13" xfId="3" applyFill="1" applyBorder="1" applyAlignment="1">
      <alignment horizontal="left" indent="1"/>
    </xf>
    <xf numFmtId="0" fontId="3" fillId="3" borderId="16" xfId="3" applyFill="1" applyBorder="1" applyAlignment="1">
      <alignment horizontal="left" indent="1"/>
    </xf>
    <xf numFmtId="0" fontId="3" fillId="3" borderId="17" xfId="3" applyFill="1" applyBorder="1"/>
    <xf numFmtId="166" fontId="3" fillId="4" borderId="12" xfId="6" applyNumberFormat="1" applyFont="1" applyFill="1" applyBorder="1" applyAlignment="1" applyProtection="1">
      <alignment horizontal="center"/>
      <protection locked="0"/>
    </xf>
    <xf numFmtId="0" fontId="3" fillId="3" borderId="29" xfId="3" applyFill="1" applyBorder="1" applyAlignment="1">
      <alignment horizontal="left" indent="1"/>
    </xf>
    <xf numFmtId="0" fontId="3" fillId="3" borderId="30" xfId="3" applyFill="1" applyBorder="1" applyAlignment="1">
      <alignment horizontal="left" indent="1"/>
    </xf>
    <xf numFmtId="0" fontId="3" fillId="3" borderId="30" xfId="3" applyFill="1" applyBorder="1"/>
    <xf numFmtId="0" fontId="3" fillId="3" borderId="17" xfId="3" applyFill="1" applyBorder="1" applyAlignment="1">
      <alignment horizontal="left" indent="1"/>
    </xf>
    <xf numFmtId="2" fontId="3" fillId="3" borderId="0" xfId="3" applyNumberFormat="1" applyFill="1" applyAlignment="1">
      <alignment horizontal="center"/>
    </xf>
    <xf numFmtId="0" fontId="9" fillId="6" borderId="23" xfId="3" applyFont="1" applyFill="1" applyBorder="1" applyAlignment="1">
      <alignment horizontal="center"/>
    </xf>
    <xf numFmtId="0" fontId="9" fillId="6" borderId="24" xfId="3" applyFont="1" applyFill="1" applyBorder="1" applyAlignment="1">
      <alignment horizontal="center"/>
    </xf>
    <xf numFmtId="166" fontId="10" fillId="3" borderId="12" xfId="6" applyNumberFormat="1" applyFont="1" applyFill="1" applyBorder="1" applyAlignment="1" applyProtection="1">
      <alignment horizontal="center"/>
    </xf>
    <xf numFmtId="166" fontId="10" fillId="3" borderId="11" xfId="6" applyNumberFormat="1" applyFont="1" applyFill="1" applyBorder="1" applyAlignment="1" applyProtection="1">
      <alignment horizontal="center"/>
    </xf>
    <xf numFmtId="0" fontId="4" fillId="3" borderId="0" xfId="3" applyFont="1" applyFill="1" applyAlignment="1">
      <alignment horizontal="left" indent="2"/>
    </xf>
    <xf numFmtId="166" fontId="10" fillId="3" borderId="0" xfId="6" applyNumberFormat="1" applyFont="1" applyFill="1" applyBorder="1" applyAlignment="1" applyProtection="1">
      <alignment horizontal="center"/>
    </xf>
    <xf numFmtId="0" fontId="14" fillId="3" borderId="0" xfId="3" applyFont="1" applyFill="1"/>
    <xf numFmtId="0" fontId="14" fillId="3" borderId="0" xfId="3" applyFont="1" applyFill="1" applyAlignment="1">
      <alignment horizontal="center"/>
    </xf>
    <xf numFmtId="0" fontId="14" fillId="3" borderId="0" xfId="3" applyFont="1" applyFill="1" applyAlignment="1">
      <alignment horizontal="justify"/>
    </xf>
    <xf numFmtId="0" fontId="14" fillId="2" borderId="0" xfId="3" applyFont="1" applyFill="1" applyAlignment="1">
      <alignment horizontal="justify"/>
    </xf>
    <xf numFmtId="0" fontId="17" fillId="2" borderId="0" xfId="3" applyFont="1" applyFill="1"/>
    <xf numFmtId="9" fontId="6" fillId="3" borderId="0" xfId="3" applyNumberFormat="1" applyFont="1" applyFill="1"/>
    <xf numFmtId="0" fontId="14" fillId="3" borderId="31" xfId="3" applyFont="1" applyFill="1" applyBorder="1"/>
    <xf numFmtId="0" fontId="14" fillId="3" borderId="32" xfId="3" applyFont="1" applyFill="1" applyBorder="1"/>
    <xf numFmtId="0" fontId="14" fillId="2" borderId="0" xfId="3" applyFont="1" applyFill="1" applyAlignment="1">
      <alignment horizontal="center"/>
    </xf>
    <xf numFmtId="0" fontId="14" fillId="2" borderId="0" xfId="3" applyFont="1" applyFill="1"/>
    <xf numFmtId="0" fontId="19" fillId="2" borderId="0" xfId="3" applyFont="1" applyFill="1" applyAlignment="1">
      <alignment vertical="center" wrapText="1"/>
    </xf>
    <xf numFmtId="0" fontId="20" fillId="5" borderId="24" xfId="3" applyFont="1" applyFill="1" applyBorder="1" applyAlignment="1">
      <alignment horizontal="center"/>
    </xf>
    <xf numFmtId="0" fontId="20" fillId="2" borderId="0" xfId="3" applyFont="1" applyFill="1" applyAlignment="1">
      <alignment horizontal="center"/>
    </xf>
    <xf numFmtId="0" fontId="14" fillId="3" borderId="33" xfId="3" applyFont="1" applyFill="1" applyBorder="1" applyAlignment="1">
      <alignment horizontal="center"/>
    </xf>
    <xf numFmtId="166" fontId="14" fillId="4" borderId="34" xfId="6" applyNumberFormat="1" applyFont="1" applyFill="1" applyBorder="1" applyAlignment="1" applyProtection="1">
      <alignment horizontal="center"/>
    </xf>
    <xf numFmtId="166" fontId="14" fillId="2" borderId="0" xfId="3" applyNumberFormat="1" applyFont="1" applyFill="1" applyAlignment="1">
      <alignment horizontal="center"/>
    </xf>
    <xf numFmtId="0" fontId="14" fillId="3" borderId="35" xfId="3" applyFont="1" applyFill="1" applyBorder="1" applyAlignment="1">
      <alignment horizontal="center"/>
    </xf>
    <xf numFmtId="0" fontId="14" fillId="3" borderId="13" xfId="3" applyFont="1" applyFill="1" applyBorder="1" applyAlignment="1">
      <alignment horizontal="left" indent="1"/>
    </xf>
    <xf numFmtId="0" fontId="14" fillId="3" borderId="17" xfId="3" applyFont="1" applyFill="1" applyBorder="1" applyAlignment="1">
      <alignment horizontal="left" indent="1"/>
    </xf>
    <xf numFmtId="166" fontId="14" fillId="3" borderId="34" xfId="6" applyNumberFormat="1" applyFont="1" applyFill="1" applyBorder="1" applyAlignment="1" applyProtection="1">
      <alignment horizontal="center"/>
    </xf>
    <xf numFmtId="0" fontId="14" fillId="3" borderId="36" xfId="3" applyFont="1" applyFill="1" applyBorder="1" applyAlignment="1">
      <alignment horizontal="center"/>
    </xf>
    <xf numFmtId="0" fontId="14" fillId="3" borderId="37" xfId="3" applyFont="1" applyFill="1" applyBorder="1" applyAlignment="1">
      <alignment horizontal="left" indent="1"/>
    </xf>
    <xf numFmtId="0" fontId="14" fillId="3" borderId="38" xfId="3" applyFont="1" applyFill="1" applyBorder="1" applyAlignment="1">
      <alignment horizontal="left" indent="1"/>
    </xf>
    <xf numFmtId="166" fontId="14" fillId="3" borderId="39" xfId="6" applyNumberFormat="1" applyFont="1" applyFill="1" applyBorder="1" applyAlignment="1" applyProtection="1">
      <alignment horizontal="center"/>
    </xf>
    <xf numFmtId="2" fontId="14" fillId="3" borderId="0" xfId="3" applyNumberFormat="1" applyFont="1" applyFill="1" applyAlignment="1">
      <alignment horizontal="center"/>
    </xf>
    <xf numFmtId="0" fontId="14" fillId="3" borderId="7" xfId="3" applyFont="1" applyFill="1" applyBorder="1"/>
    <xf numFmtId="0" fontId="14" fillId="3" borderId="5" xfId="3" applyFont="1" applyFill="1" applyBorder="1" applyAlignment="1">
      <alignment horizontal="center" vertical="top"/>
    </xf>
    <xf numFmtId="166" fontId="22" fillId="3" borderId="39" xfId="6" applyNumberFormat="1" applyFont="1" applyFill="1" applyBorder="1" applyAlignment="1" applyProtection="1">
      <alignment horizontal="center"/>
    </xf>
    <xf numFmtId="0" fontId="21" fillId="3" borderId="0" xfId="3" applyFont="1" applyFill="1"/>
    <xf numFmtId="0" fontId="0" fillId="2" borderId="0" xfId="0" applyFill="1" applyAlignment="1">
      <alignment horizontal="left" vertical="center" wrapText="1"/>
    </xf>
    <xf numFmtId="0" fontId="0" fillId="2" borderId="12" xfId="0" applyFill="1" applyBorder="1" applyAlignment="1">
      <alignment horizontal="center" vertical="center" wrapText="1"/>
    </xf>
    <xf numFmtId="4" fontId="0" fillId="2" borderId="0" xfId="0" applyNumberFormat="1" applyFill="1" applyAlignment="1">
      <alignment horizontal="center" vertical="center"/>
    </xf>
    <xf numFmtId="0" fontId="1" fillId="2" borderId="0" xfId="0" applyFont="1" applyFill="1" applyAlignment="1">
      <alignment vertical="center" wrapText="1"/>
    </xf>
    <xf numFmtId="4" fontId="0" fillId="2" borderId="12" xfId="0" applyNumberFormat="1" applyFill="1" applyBorder="1" applyAlignment="1">
      <alignment horizontal="center" vertical="center"/>
    </xf>
    <xf numFmtId="0" fontId="0" fillId="2" borderId="0" xfId="0" applyFill="1" applyAlignment="1">
      <alignment vertical="center" wrapText="1"/>
    </xf>
    <xf numFmtId="0" fontId="0" fillId="0" borderId="0" xfId="0" applyAlignment="1">
      <alignment vertical="center" wrapText="1"/>
    </xf>
    <xf numFmtId="4" fontId="0" fillId="2" borderId="0" xfId="0" applyNumberFormat="1" applyFill="1" applyAlignment="1">
      <alignment horizontal="right" vertical="center" wrapText="1"/>
    </xf>
    <xf numFmtId="10" fontId="0" fillId="2" borderId="0" xfId="0" applyNumberFormat="1" applyFill="1" applyAlignment="1">
      <alignment vertical="center" wrapText="1"/>
    </xf>
    <xf numFmtId="0" fontId="0" fillId="2" borderId="0" xfId="0" applyFill="1" applyAlignment="1">
      <alignment vertical="top" wrapText="1"/>
    </xf>
    <xf numFmtId="0" fontId="0" fillId="2" borderId="0" xfId="0" applyFill="1" applyAlignment="1">
      <alignment horizontal="center" vertical="center" wrapText="1"/>
    </xf>
    <xf numFmtId="169" fontId="0" fillId="2" borderId="12" xfId="0" applyNumberFormat="1" applyFill="1" applyBorder="1" applyAlignment="1">
      <alignment horizontal="center" vertical="center" wrapText="1"/>
    </xf>
    <xf numFmtId="4" fontId="0" fillId="2" borderId="12" xfId="0" applyNumberFormat="1" applyFill="1" applyBorder="1" applyAlignment="1">
      <alignment horizontal="center" vertical="center" wrapText="1"/>
    </xf>
    <xf numFmtId="0" fontId="0" fillId="2" borderId="44" xfId="0" applyFill="1" applyBorder="1" applyAlignment="1">
      <alignment horizontal="center" vertical="center"/>
    </xf>
    <xf numFmtId="0" fontId="0" fillId="2" borderId="0" xfId="0" applyFill="1" applyAlignment="1">
      <alignment horizontal="right" vertical="center" wrapText="1"/>
    </xf>
    <xf numFmtId="4" fontId="0" fillId="2" borderId="0" xfId="0" applyNumberFormat="1" applyFill="1" applyAlignment="1">
      <alignment horizontal="center" vertical="center" wrapText="1"/>
    </xf>
    <xf numFmtId="165" fontId="0" fillId="2" borderId="0" xfId="0" applyNumberFormat="1" applyFill="1" applyAlignment="1">
      <alignment horizontal="center" vertical="center" wrapText="1"/>
    </xf>
    <xf numFmtId="44" fontId="0" fillId="2" borderId="0" xfId="0" applyNumberFormat="1" applyFill="1" applyAlignment="1">
      <alignment horizontal="right" vertical="center" wrapText="1"/>
    </xf>
    <xf numFmtId="0" fontId="1" fillId="2" borderId="47" xfId="0" applyFont="1" applyFill="1" applyBorder="1" applyAlignment="1">
      <alignment horizontal="center" vertical="center" wrapText="1"/>
    </xf>
    <xf numFmtId="0" fontId="0" fillId="2" borderId="53" xfId="0" applyFill="1" applyBorder="1" applyAlignment="1">
      <alignment horizontal="left" vertical="center" wrapText="1"/>
    </xf>
    <xf numFmtId="0" fontId="0" fillId="2" borderId="16" xfId="0" applyFill="1" applyBorder="1" applyAlignment="1">
      <alignment vertical="center" wrapText="1"/>
    </xf>
    <xf numFmtId="0" fontId="0" fillId="2" borderId="16" xfId="0" applyFill="1" applyBorder="1" applyAlignment="1">
      <alignment horizontal="center" vertical="center" wrapText="1"/>
    </xf>
    <xf numFmtId="4" fontId="0" fillId="2" borderId="16" xfId="0" applyNumberFormat="1" applyFill="1" applyBorder="1" applyAlignment="1">
      <alignment horizontal="right" vertical="center" wrapText="1"/>
    </xf>
    <xf numFmtId="44" fontId="0" fillId="2" borderId="16" xfId="0" applyNumberFormat="1" applyFill="1" applyBorder="1" applyAlignment="1">
      <alignment horizontal="righ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5" xfId="0" applyFill="1" applyBorder="1" applyAlignment="1">
      <alignment horizontal="center" vertical="center" wrapText="1"/>
    </xf>
    <xf numFmtId="44" fontId="0" fillId="2" borderId="5" xfId="0" applyNumberFormat="1" applyFill="1" applyBorder="1" applyAlignment="1">
      <alignment horizontal="right" vertical="center" wrapText="1"/>
    </xf>
    <xf numFmtId="0" fontId="0" fillId="2" borderId="57" xfId="0" applyFill="1" applyBorder="1" applyAlignment="1">
      <alignment horizontal="left" vertical="center" wrapText="1"/>
    </xf>
    <xf numFmtId="0" fontId="1" fillId="2" borderId="6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0" xfId="0" applyFont="1" applyFill="1" applyAlignment="1">
      <alignment horizontal="left" vertical="center" wrapText="1"/>
    </xf>
    <xf numFmtId="0" fontId="0" fillId="2" borderId="31" xfId="0" applyFill="1" applyBorder="1" applyAlignment="1">
      <alignment vertical="center" wrapText="1"/>
    </xf>
    <xf numFmtId="0" fontId="0" fillId="2" borderId="31" xfId="0" applyFill="1" applyBorder="1" applyAlignment="1">
      <alignment horizontal="right" vertical="center" wrapText="1"/>
    </xf>
    <xf numFmtId="0" fontId="1" fillId="2" borderId="37" xfId="0" applyFont="1" applyFill="1" applyBorder="1" applyAlignment="1">
      <alignment horizontal="left" vertical="center" wrapText="1"/>
    </xf>
    <xf numFmtId="0" fontId="0" fillId="2" borderId="68" xfId="0" applyFill="1" applyBorder="1" applyAlignment="1">
      <alignment vertical="center" wrapText="1"/>
    </xf>
    <xf numFmtId="44" fontId="0" fillId="2" borderId="68" xfId="0" applyNumberFormat="1" applyFill="1" applyBorder="1" applyAlignment="1">
      <alignment horizontal="right" vertical="center" wrapText="1"/>
    </xf>
    <xf numFmtId="0" fontId="1" fillId="2" borderId="55" xfId="0" applyFont="1" applyFill="1" applyBorder="1" applyAlignment="1">
      <alignment horizontal="left" vertical="center" wrapText="1"/>
    </xf>
    <xf numFmtId="0" fontId="0" fillId="2" borderId="4" xfId="0" applyFill="1" applyBorder="1" applyAlignment="1">
      <alignment horizontal="right" vertical="center" wrapText="1"/>
    </xf>
    <xf numFmtId="0" fontId="0" fillId="2" borderId="53" xfId="0" applyFill="1" applyBorder="1" applyAlignment="1">
      <alignment horizontal="center" vertical="center"/>
    </xf>
    <xf numFmtId="0" fontId="1" fillId="2" borderId="13" xfId="0" applyFont="1" applyFill="1" applyBorder="1" applyAlignment="1">
      <alignment horizontal="left" vertical="center"/>
    </xf>
    <xf numFmtId="0" fontId="1" fillId="2" borderId="0" xfId="0" applyFont="1" applyFill="1" applyAlignment="1">
      <alignment horizontal="right" vertical="center" wrapText="1"/>
    </xf>
    <xf numFmtId="4" fontId="1" fillId="2" borderId="0" xfId="0" applyNumberFormat="1" applyFont="1" applyFill="1" applyAlignment="1">
      <alignment horizontal="right" vertical="center" wrapText="1"/>
    </xf>
    <xf numFmtId="2" fontId="1" fillId="2" borderId="16" xfId="0" applyNumberFormat="1" applyFont="1" applyFill="1" applyBorder="1" applyAlignment="1">
      <alignment horizontal="center" vertical="center"/>
    </xf>
    <xf numFmtId="2" fontId="1" fillId="2" borderId="69" xfId="0" applyNumberFormat="1" applyFont="1" applyFill="1" applyBorder="1" applyAlignment="1">
      <alignment horizontal="center" vertical="center"/>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19" xfId="0" applyFont="1" applyFill="1" applyBorder="1" applyAlignment="1">
      <alignment horizontal="left" vertical="center"/>
    </xf>
    <xf numFmtId="2" fontId="1" fillId="2" borderId="19" xfId="0" applyNumberFormat="1" applyFont="1" applyFill="1" applyBorder="1" applyAlignment="1">
      <alignment horizontal="center" vertical="center"/>
    </xf>
    <xf numFmtId="2" fontId="1" fillId="2" borderId="55" xfId="0" applyNumberFormat="1" applyFont="1" applyFill="1" applyBorder="1" applyAlignment="1">
      <alignment horizontal="center" vertical="center"/>
    </xf>
    <xf numFmtId="2" fontId="1" fillId="2" borderId="56" xfId="0" applyNumberFormat="1" applyFont="1" applyFill="1" applyBorder="1" applyAlignment="1">
      <alignment horizontal="center" vertical="center"/>
    </xf>
    <xf numFmtId="0" fontId="1" fillId="2" borderId="29" xfId="0" applyFont="1" applyFill="1" applyBorder="1" applyAlignment="1">
      <alignment horizontal="left" vertical="center"/>
    </xf>
    <xf numFmtId="2" fontId="1" fillId="2" borderId="69" xfId="0" applyNumberFormat="1" applyFont="1" applyFill="1" applyBorder="1" applyAlignment="1">
      <alignment horizontal="right" vertical="center"/>
    </xf>
    <xf numFmtId="2" fontId="1" fillId="2" borderId="16" xfId="0" applyNumberFormat="1" applyFont="1" applyFill="1" applyBorder="1" applyAlignment="1">
      <alignment horizontal="right" vertical="center"/>
    </xf>
    <xf numFmtId="2" fontId="0" fillId="2" borderId="53" xfId="0" applyNumberFormat="1" applyFill="1" applyBorder="1" applyAlignment="1">
      <alignment horizontal="center" vertical="center"/>
    </xf>
    <xf numFmtId="2" fontId="0" fillId="2" borderId="16" xfId="0" applyNumberFormat="1" applyFill="1" applyBorder="1" applyAlignment="1">
      <alignment horizontal="center" vertical="center"/>
    </xf>
    <xf numFmtId="170" fontId="0" fillId="2" borderId="53" xfId="0" applyNumberFormat="1" applyFill="1" applyBorder="1" applyAlignment="1">
      <alignment horizontal="right" vertical="center"/>
    </xf>
    <xf numFmtId="170" fontId="0" fillId="2" borderId="45" xfId="0" applyNumberFormat="1" applyFill="1" applyBorder="1" applyAlignment="1">
      <alignment horizontal="right" vertical="center"/>
    </xf>
    <xf numFmtId="170" fontId="1" fillId="2" borderId="46" xfId="0" applyNumberFormat="1" applyFont="1" applyFill="1" applyBorder="1" applyAlignment="1">
      <alignment horizontal="right" vertical="center"/>
    </xf>
    <xf numFmtId="170" fontId="1" fillId="2" borderId="50" xfId="0" applyNumberFormat="1" applyFont="1" applyFill="1" applyBorder="1" applyAlignment="1">
      <alignment horizontal="right" vertical="center"/>
    </xf>
    <xf numFmtId="0" fontId="0" fillId="2" borderId="19" xfId="0" applyFill="1" applyBorder="1" applyAlignment="1">
      <alignment vertical="center"/>
    </xf>
    <xf numFmtId="0" fontId="1" fillId="2" borderId="19" xfId="0" applyFont="1" applyFill="1" applyBorder="1" applyAlignment="1">
      <alignment horizontal="right" vertical="center"/>
    </xf>
    <xf numFmtId="170" fontId="1" fillId="7" borderId="46" xfId="0" applyNumberFormat="1" applyFont="1" applyFill="1" applyBorder="1" applyAlignment="1">
      <alignment horizontal="right" vertical="center"/>
    </xf>
    <xf numFmtId="2" fontId="1" fillId="7" borderId="0" xfId="0" applyNumberFormat="1" applyFont="1" applyFill="1" applyAlignment="1">
      <alignment horizontal="center" vertical="center"/>
    </xf>
    <xf numFmtId="170" fontId="0" fillId="2" borderId="53" xfId="0" applyNumberFormat="1" applyFill="1" applyBorder="1" applyAlignment="1">
      <alignment horizontal="center" vertical="center"/>
    </xf>
    <xf numFmtId="43" fontId="0" fillId="2" borderId="0" xfId="0" applyNumberFormat="1" applyFill="1" applyAlignment="1">
      <alignment horizontal="center" vertical="center"/>
    </xf>
    <xf numFmtId="170" fontId="0" fillId="2" borderId="45" xfId="0" applyNumberFormat="1" applyFill="1" applyBorder="1" applyAlignment="1">
      <alignment horizontal="center" vertical="center"/>
    </xf>
    <xf numFmtId="0" fontId="0" fillId="2" borderId="53" xfId="0" applyFill="1" applyBorder="1" applyAlignment="1">
      <alignment horizontal="right" vertical="center" wrapText="1"/>
    </xf>
    <xf numFmtId="0" fontId="1" fillId="2" borderId="29" xfId="0" applyFont="1" applyFill="1" applyBorder="1" applyAlignment="1">
      <alignment horizontal="left" vertical="center" wrapText="1"/>
    </xf>
    <xf numFmtId="0" fontId="0" fillId="2" borderId="69" xfId="0" applyFill="1" applyBorder="1" applyAlignment="1">
      <alignment vertical="center" wrapText="1"/>
    </xf>
    <xf numFmtId="44" fontId="0" fillId="2" borderId="69" xfId="0" applyNumberFormat="1" applyFill="1" applyBorder="1" applyAlignment="1">
      <alignment horizontal="right" vertical="center" wrapText="1"/>
    </xf>
    <xf numFmtId="0" fontId="1" fillId="2" borderId="71" xfId="0" applyFont="1" applyFill="1" applyBorder="1" applyAlignment="1">
      <alignment horizontal="left" vertical="center" wrapText="1"/>
    </xf>
    <xf numFmtId="0" fontId="0" fillId="2" borderId="5" xfId="0" applyFill="1" applyBorder="1" applyAlignment="1">
      <alignment horizontal="right" vertical="center" wrapText="1"/>
    </xf>
    <xf numFmtId="4" fontId="0" fillId="2" borderId="0" xfId="0" applyNumberFormat="1" applyFill="1" applyAlignment="1">
      <alignment vertical="center" wrapText="1"/>
    </xf>
    <xf numFmtId="4" fontId="1" fillId="2" borderId="0" xfId="0" applyNumberFormat="1" applyFont="1" applyFill="1" applyAlignment="1">
      <alignment horizontal="center" vertical="center" wrapText="1"/>
    </xf>
    <xf numFmtId="4" fontId="0" fillId="2" borderId="0" xfId="0" applyNumberFormat="1" applyFill="1" applyAlignment="1">
      <alignment horizontal="left" vertical="center" wrapText="1"/>
    </xf>
    <xf numFmtId="171" fontId="0" fillId="2" borderId="0" xfId="0" applyNumberFormat="1" applyFill="1" applyAlignment="1">
      <alignment vertical="center" wrapText="1"/>
    </xf>
    <xf numFmtId="0" fontId="1" fillId="2" borderId="58" xfId="0" applyFont="1" applyFill="1" applyBorder="1" applyAlignment="1">
      <alignment horizontal="center" vertical="center" wrapText="1"/>
    </xf>
    <xf numFmtId="0" fontId="1" fillId="2" borderId="0" xfId="0" applyFont="1" applyFill="1" applyAlignment="1">
      <alignment horizontal="center" vertical="center" wrapText="1"/>
    </xf>
    <xf numFmtId="4" fontId="1" fillId="2" borderId="0" xfId="0" applyNumberFormat="1" applyFont="1" applyFill="1" applyAlignment="1">
      <alignment vertical="center" wrapText="1"/>
    </xf>
    <xf numFmtId="2" fontId="0" fillId="0" borderId="0" xfId="0" applyNumberFormat="1" applyAlignment="1">
      <alignment vertical="center"/>
    </xf>
    <xf numFmtId="44" fontId="0" fillId="2" borderId="32" xfId="0" applyNumberFormat="1" applyFill="1" applyBorder="1" applyAlignment="1">
      <alignment horizontal="right" vertical="center" wrapText="1"/>
    </xf>
    <xf numFmtId="44" fontId="0" fillId="2" borderId="0" xfId="0" applyNumberFormat="1" applyFill="1" applyAlignment="1">
      <alignment vertical="center" wrapText="1"/>
    </xf>
    <xf numFmtId="4" fontId="1" fillId="2" borderId="80" xfId="0" applyNumberFormat="1" applyFont="1" applyFill="1" applyBorder="1" applyAlignment="1">
      <alignment horizontal="center" vertical="center" wrapText="1"/>
    </xf>
    <xf numFmtId="4" fontId="0" fillId="2" borderId="69" xfId="0" applyNumberFormat="1" applyFill="1" applyBorder="1" applyAlignment="1">
      <alignment horizontal="center" vertical="center" wrapText="1"/>
    </xf>
    <xf numFmtId="2" fontId="1" fillId="2" borderId="12" xfId="0" applyNumberFormat="1" applyFont="1" applyFill="1" applyBorder="1" applyAlignment="1">
      <alignment horizontal="center" vertical="center" wrapText="1"/>
    </xf>
    <xf numFmtId="165" fontId="1" fillId="2" borderId="60" xfId="0" applyNumberFormat="1" applyFont="1" applyFill="1" applyBorder="1" applyAlignment="1">
      <alignment horizontal="center" vertical="center" wrapText="1"/>
    </xf>
    <xf numFmtId="165" fontId="1" fillId="2" borderId="81" xfId="0" applyNumberFormat="1" applyFont="1" applyFill="1" applyBorder="1" applyAlignment="1">
      <alignment horizontal="center" vertical="center" wrapText="1"/>
    </xf>
    <xf numFmtId="0" fontId="0" fillId="2" borderId="0" xfId="0" applyFill="1" applyAlignment="1">
      <alignment horizontal="left" vertical="top"/>
    </xf>
    <xf numFmtId="1" fontId="27" fillId="2" borderId="12" xfId="0" applyNumberFormat="1" applyFont="1" applyFill="1" applyBorder="1" applyAlignment="1">
      <alignment horizontal="center" vertical="center" wrapText="1"/>
    </xf>
    <xf numFmtId="43" fontId="0" fillId="2" borderId="0" xfId="0" applyNumberFormat="1" applyFill="1" applyAlignment="1">
      <alignment vertical="center" wrapText="1"/>
    </xf>
    <xf numFmtId="4" fontId="1" fillId="0" borderId="0" xfId="0" applyNumberFormat="1" applyFont="1" applyAlignment="1">
      <alignment horizontal="center" vertical="center"/>
    </xf>
    <xf numFmtId="2" fontId="1" fillId="0" borderId="11" xfId="0" applyNumberFormat="1" applyFont="1" applyBorder="1" applyAlignment="1">
      <alignment horizontal="center" vertical="center"/>
    </xf>
    <xf numFmtId="173" fontId="0" fillId="2" borderId="0" xfId="0" applyNumberFormat="1" applyFill="1" applyAlignment="1">
      <alignment vertical="center" wrapText="1"/>
    </xf>
    <xf numFmtId="0" fontId="1" fillId="2" borderId="0" xfId="0" applyFont="1" applyFill="1" applyAlignment="1">
      <alignment horizontal="right" vertical="center"/>
    </xf>
    <xf numFmtId="172" fontId="0" fillId="2" borderId="0" xfId="0" applyNumberFormat="1" applyFill="1" applyAlignment="1">
      <alignment horizontal="right" vertical="center" wrapText="1"/>
    </xf>
    <xf numFmtId="0" fontId="1" fillId="2" borderId="0" xfId="0" applyFont="1" applyFill="1" applyAlignment="1">
      <alignment horizontal="left" vertical="top" wrapText="1"/>
    </xf>
    <xf numFmtId="0" fontId="0" fillId="0" borderId="0" xfId="0" applyAlignment="1">
      <alignment horizontal="center" vertical="center"/>
    </xf>
    <xf numFmtId="0" fontId="0" fillId="2" borderId="0" xfId="0" applyFill="1" applyAlignment="1">
      <alignment horizontal="center" vertical="top"/>
    </xf>
    <xf numFmtId="0" fontId="0" fillId="2" borderId="0" xfId="0" applyFill="1" applyAlignment="1">
      <alignment horizontal="center" vertical="top" wrapText="1"/>
    </xf>
    <xf numFmtId="0" fontId="0" fillId="2" borderId="21" xfId="0" applyFill="1" applyBorder="1" applyAlignment="1">
      <alignment vertical="center"/>
    </xf>
    <xf numFmtId="4" fontId="0" fillId="2" borderId="11" xfId="0" applyNumberFormat="1" applyFill="1" applyBorder="1" applyAlignment="1">
      <alignment horizontal="center" vertical="center" wrapText="1"/>
    </xf>
    <xf numFmtId="2" fontId="0" fillId="2" borderId="11" xfId="0" applyNumberFormat="1" applyFill="1" applyBorder="1" applyAlignment="1">
      <alignment horizontal="center" vertical="center"/>
    </xf>
    <xf numFmtId="4" fontId="0" fillId="2" borderId="11" xfId="0" applyNumberFormat="1" applyFill="1" applyBorder="1" applyAlignment="1">
      <alignment horizontal="center" vertical="center"/>
    </xf>
    <xf numFmtId="168" fontId="0" fillId="2" borderId="0" xfId="0" applyNumberFormat="1" applyFill="1" applyAlignment="1">
      <alignment vertical="center"/>
    </xf>
    <xf numFmtId="2" fontId="0" fillId="2" borderId="29" xfId="0" applyNumberFormat="1" applyFill="1" applyBorder="1" applyAlignment="1">
      <alignment horizontal="center" vertical="center" wrapText="1"/>
    </xf>
    <xf numFmtId="2" fontId="0" fillId="2" borderId="11" xfId="0" applyNumberFormat="1" applyFill="1" applyBorder="1" applyAlignment="1">
      <alignment horizontal="center" vertical="center" wrapText="1"/>
    </xf>
    <xf numFmtId="169" fontId="0" fillId="2" borderId="0" xfId="0" applyNumberFormat="1" applyFill="1" applyAlignment="1">
      <alignment horizontal="center" vertical="center" wrapText="1"/>
    </xf>
    <xf numFmtId="4" fontId="0" fillId="2" borderId="11" xfId="0" applyNumberFormat="1" applyFill="1" applyBorder="1" applyAlignment="1">
      <alignment vertical="center"/>
    </xf>
    <xf numFmtId="0" fontId="0" fillId="2" borderId="83" xfId="0" applyFill="1" applyBorder="1" applyAlignment="1">
      <alignment horizontal="center" vertical="center"/>
    </xf>
    <xf numFmtId="0" fontId="0" fillId="2" borderId="49" xfId="0" applyFill="1" applyBorder="1" applyAlignment="1">
      <alignment horizontal="center" vertical="center"/>
    </xf>
    <xf numFmtId="2" fontId="0" fillId="2" borderId="49" xfId="0" applyNumberFormat="1" applyFill="1" applyBorder="1" applyAlignment="1">
      <alignment horizontal="center" vertical="center"/>
    </xf>
    <xf numFmtId="170" fontId="0" fillId="2" borderId="49" xfId="0" applyNumberFormat="1" applyFill="1" applyBorder="1" applyAlignment="1">
      <alignment horizontal="center" vertical="center"/>
    </xf>
    <xf numFmtId="170" fontId="0" fillId="2" borderId="50" xfId="0" applyNumberFormat="1" applyFill="1" applyBorder="1" applyAlignment="1">
      <alignment horizontal="center" vertical="center"/>
    </xf>
    <xf numFmtId="164" fontId="0" fillId="2" borderId="0" xfId="0" applyNumberFormat="1" applyFill="1" applyAlignment="1">
      <alignment horizontal="center" vertical="center" wrapText="1"/>
    </xf>
    <xf numFmtId="4" fontId="1" fillId="2" borderId="60" xfId="0" applyNumberFormat="1" applyFont="1" applyFill="1" applyBorder="1" applyAlignment="1">
      <alignment horizontal="center" vertical="center" wrapText="1"/>
    </xf>
    <xf numFmtId="0" fontId="0" fillId="2" borderId="49" xfId="0" applyFill="1" applyBorder="1" applyAlignment="1">
      <alignment horizontal="center" vertical="center" wrapText="1"/>
    </xf>
    <xf numFmtId="2" fontId="0" fillId="0" borderId="12" xfId="0" applyNumberFormat="1" applyBorder="1" applyAlignment="1">
      <alignment horizontal="center" vertical="center"/>
    </xf>
    <xf numFmtId="10" fontId="2" fillId="0" borderId="11" xfId="1" applyNumberFormat="1" applyFont="1" applyFill="1" applyBorder="1" applyAlignment="1">
      <alignment horizontal="center" vertical="center" wrapText="1"/>
    </xf>
    <xf numFmtId="2" fontId="0" fillId="0" borderId="11" xfId="0" applyNumberFormat="1" applyBorder="1" applyAlignment="1">
      <alignment horizontal="center" vertical="center"/>
    </xf>
    <xf numFmtId="43" fontId="0" fillId="2" borderId="11" xfId="2" applyFont="1" applyFill="1" applyBorder="1" applyAlignment="1">
      <alignment horizontal="center" vertical="center" wrapText="1"/>
    </xf>
    <xf numFmtId="2" fontId="1" fillId="0" borderId="0" xfId="0" applyNumberFormat="1" applyFont="1" applyAlignment="1">
      <alignment vertical="center"/>
    </xf>
    <xf numFmtId="4" fontId="0" fillId="0" borderId="12" xfId="0" applyNumberFormat="1" applyBorder="1" applyAlignment="1">
      <alignment horizontal="center" vertical="center" wrapText="1"/>
    </xf>
    <xf numFmtId="0" fontId="27" fillId="2" borderId="12" xfId="0" applyFont="1" applyFill="1" applyBorder="1" applyAlignment="1">
      <alignment horizontal="center" vertical="center" wrapText="1"/>
    </xf>
    <xf numFmtId="168" fontId="1" fillId="0" borderId="12" xfId="0" applyNumberFormat="1" applyFont="1" applyBorder="1" applyAlignment="1">
      <alignment horizontal="center" vertical="center" wrapText="1"/>
    </xf>
    <xf numFmtId="4" fontId="1" fillId="2" borderId="11" xfId="0" applyNumberFormat="1" applyFont="1" applyFill="1" applyBorder="1" applyAlignment="1">
      <alignment horizontal="center" vertical="center"/>
    </xf>
    <xf numFmtId="4" fontId="0" fillId="0" borderId="0" xfId="0" applyNumberFormat="1" applyAlignment="1">
      <alignment vertical="center"/>
    </xf>
    <xf numFmtId="0" fontId="1" fillId="2" borderId="0" xfId="0" applyFont="1" applyFill="1" applyAlignment="1">
      <alignment horizontal="left" vertical="top"/>
    </xf>
    <xf numFmtId="0" fontId="1" fillId="2" borderId="60" xfId="0" applyFont="1" applyFill="1" applyBorder="1" applyAlignment="1">
      <alignment horizontal="center" vertical="center" wrapText="1"/>
    </xf>
    <xf numFmtId="0" fontId="0" fillId="2" borderId="69" xfId="0" applyFill="1" applyBorder="1" applyAlignment="1">
      <alignment horizontal="center" vertical="center" wrapText="1"/>
    </xf>
    <xf numFmtId="43" fontId="1" fillId="0" borderId="0" xfId="0" applyNumberFormat="1" applyFont="1" applyAlignment="1">
      <alignment vertical="center" wrapText="1"/>
    </xf>
    <xf numFmtId="4" fontId="0" fillId="2" borderId="32" xfId="0" applyNumberFormat="1" applyFill="1" applyBorder="1" applyAlignment="1">
      <alignment horizontal="center" vertical="center" wrapText="1"/>
    </xf>
    <xf numFmtId="165" fontId="0" fillId="2" borderId="32" xfId="0" applyNumberFormat="1" applyFill="1" applyBorder="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69" xfId="0" applyBorder="1" applyAlignment="1">
      <alignment horizontal="left" vertical="center" wrapText="1"/>
    </xf>
    <xf numFmtId="0" fontId="0" fillId="0" borderId="69" xfId="0" applyBorder="1" applyAlignment="1">
      <alignment horizontal="center" vertical="center" wrapText="1"/>
    </xf>
    <xf numFmtId="4" fontId="0" fillId="0" borderId="11" xfId="0" applyNumberFormat="1" applyBorder="1" applyAlignment="1">
      <alignment vertical="center"/>
    </xf>
    <xf numFmtId="4" fontId="0" fillId="0" borderId="11" xfId="0" applyNumberFormat="1" applyBorder="1" applyAlignment="1">
      <alignment horizontal="center" vertical="center"/>
    </xf>
    <xf numFmtId="2" fontId="0" fillId="0" borderId="0" xfId="0" applyNumberFormat="1" applyAlignment="1">
      <alignment horizontal="center" vertical="center"/>
    </xf>
    <xf numFmtId="1" fontId="27" fillId="0" borderId="11" xfId="0" applyNumberFormat="1" applyFont="1" applyBorder="1" applyAlignment="1">
      <alignment horizontal="center" vertical="center" wrapText="1"/>
    </xf>
    <xf numFmtId="4" fontId="0" fillId="0" borderId="11" xfId="0" applyNumberFormat="1" applyBorder="1" applyAlignment="1">
      <alignment horizontal="center" vertical="center" wrapText="1"/>
    </xf>
    <xf numFmtId="1" fontId="0" fillId="2" borderId="0" xfId="0" applyNumberFormat="1" applyFill="1" applyAlignment="1">
      <alignment horizontal="center" vertical="center" wrapText="1"/>
    </xf>
    <xf numFmtId="43" fontId="0" fillId="2" borderId="0" xfId="0" applyNumberFormat="1" applyFill="1" applyAlignment="1">
      <alignment vertical="center"/>
    </xf>
    <xf numFmtId="2" fontId="1" fillId="0" borderId="12" xfId="0" applyNumberFormat="1" applyFont="1" applyBorder="1" applyAlignment="1">
      <alignment horizontal="center" vertical="center" wrapText="1"/>
    </xf>
    <xf numFmtId="2" fontId="0" fillId="8" borderId="11" xfId="0" applyNumberFormat="1" applyFill="1" applyBorder="1" applyAlignment="1">
      <alignment vertical="center"/>
    </xf>
    <xf numFmtId="4" fontId="0" fillId="8" borderId="11" xfId="0" applyNumberFormat="1" applyFill="1" applyBorder="1" applyAlignment="1">
      <alignment vertical="center"/>
    </xf>
    <xf numFmtId="4" fontId="0" fillId="2" borderId="21" xfId="0" applyNumberFormat="1" applyFill="1" applyBorder="1" applyAlignment="1">
      <alignment vertical="center" wrapText="1"/>
    </xf>
    <xf numFmtId="0" fontId="0" fillId="2" borderId="63" xfId="0" applyFill="1" applyBorder="1" applyAlignment="1">
      <alignment horizontal="right" vertical="center" wrapText="1"/>
    </xf>
    <xf numFmtId="0" fontId="0" fillId="2" borderId="48" xfId="0" applyFill="1" applyBorder="1" applyAlignment="1">
      <alignment horizontal="right" vertical="center" wrapText="1"/>
    </xf>
    <xf numFmtId="0" fontId="0" fillId="2" borderId="48" xfId="0" applyFill="1" applyBorder="1" applyAlignment="1">
      <alignment horizontal="left" vertical="center" wrapText="1"/>
    </xf>
    <xf numFmtId="0" fontId="0" fillId="2" borderId="48" xfId="0" applyFill="1" applyBorder="1" applyAlignment="1">
      <alignment horizontal="center" vertical="center" wrapText="1"/>
    </xf>
    <xf numFmtId="4" fontId="0" fillId="2" borderId="48" xfId="0" applyNumberFormat="1" applyFill="1" applyBorder="1" applyAlignment="1">
      <alignment horizontal="right" vertical="center" wrapText="1"/>
    </xf>
    <xf numFmtId="44" fontId="0" fillId="2" borderId="48" xfId="0" applyNumberFormat="1" applyFill="1" applyBorder="1" applyAlignment="1">
      <alignment horizontal="right" vertical="center" wrapText="1"/>
    </xf>
    <xf numFmtId="44" fontId="0" fillId="2" borderId="78" xfId="0" applyNumberFormat="1" applyFill="1" applyBorder="1" applyAlignment="1">
      <alignment horizontal="right" vertical="center" wrapText="1"/>
    </xf>
    <xf numFmtId="43" fontId="0" fillId="2" borderId="48" xfId="2" applyFont="1" applyFill="1" applyBorder="1" applyAlignment="1">
      <alignment horizontal="right" vertical="center" wrapText="1"/>
    </xf>
    <xf numFmtId="0" fontId="1" fillId="2" borderId="48" xfId="0" applyFont="1" applyFill="1" applyBorder="1" applyAlignment="1">
      <alignment horizontal="left" vertical="center" wrapText="1"/>
    </xf>
    <xf numFmtId="4" fontId="24" fillId="2" borderId="48" xfId="0" applyNumberFormat="1" applyFont="1" applyFill="1" applyBorder="1" applyAlignment="1">
      <alignment horizontal="right" vertical="center" wrapText="1"/>
    </xf>
    <xf numFmtId="0" fontId="0" fillId="2" borderId="90" xfId="0" applyFill="1" applyBorder="1" applyAlignment="1">
      <alignment horizontal="right" vertical="center" wrapText="1"/>
    </xf>
    <xf numFmtId="0" fontId="0" fillId="2" borderId="49" xfId="0" applyFill="1" applyBorder="1" applyAlignment="1">
      <alignment horizontal="right" vertical="center" wrapText="1"/>
    </xf>
    <xf numFmtId="0" fontId="0" fillId="2" borderId="49" xfId="0" applyFill="1" applyBorder="1" applyAlignment="1">
      <alignment horizontal="left" vertical="center" wrapText="1"/>
    </xf>
    <xf numFmtId="4" fontId="0" fillId="2" borderId="49" xfId="0" applyNumberFormat="1" applyFill="1" applyBorder="1" applyAlignment="1">
      <alignment horizontal="right" vertical="center" wrapText="1"/>
    </xf>
    <xf numFmtId="0" fontId="0" fillId="2" borderId="55" xfId="0" applyFill="1" applyBorder="1" applyAlignment="1">
      <alignment horizontal="left" vertical="center" wrapText="1"/>
    </xf>
    <xf numFmtId="0" fontId="0" fillId="2" borderId="55" xfId="0" applyFill="1" applyBorder="1" applyAlignment="1">
      <alignment horizontal="center" vertical="center" wrapText="1"/>
    </xf>
    <xf numFmtId="4" fontId="0" fillId="2" borderId="55" xfId="0" applyNumberFormat="1" applyFill="1" applyBorder="1" applyAlignment="1">
      <alignment horizontal="right" vertical="center" wrapText="1"/>
    </xf>
    <xf numFmtId="0" fontId="0" fillId="2" borderId="67" xfId="0" applyFill="1" applyBorder="1" applyAlignment="1">
      <alignment horizontal="right" vertical="center" wrapText="1"/>
    </xf>
    <xf numFmtId="0" fontId="0" fillId="2" borderId="57" xfId="0" applyFill="1" applyBorder="1" applyAlignment="1">
      <alignment horizontal="right" vertical="center" wrapText="1"/>
    </xf>
    <xf numFmtId="0" fontId="0" fillId="2" borderId="57" xfId="0" applyFill="1" applyBorder="1" applyAlignment="1">
      <alignment horizontal="center" vertical="center" wrapText="1"/>
    </xf>
    <xf numFmtId="4" fontId="0" fillId="2" borderId="57" xfId="0" applyNumberFormat="1" applyFill="1" applyBorder="1" applyAlignment="1">
      <alignment horizontal="right" vertical="center" wrapText="1"/>
    </xf>
    <xf numFmtId="10" fontId="0" fillId="2" borderId="48" xfId="1" applyNumberFormat="1" applyFont="1" applyFill="1" applyBorder="1" applyAlignment="1">
      <alignment horizontal="right" vertical="center" wrapText="1"/>
    </xf>
    <xf numFmtId="4" fontId="0" fillId="8" borderId="0" xfId="0" applyNumberFormat="1" applyFill="1" applyAlignment="1">
      <alignment horizontal="right" vertical="center" wrapText="1"/>
    </xf>
    <xf numFmtId="4" fontId="24" fillId="8" borderId="0" xfId="0" applyNumberFormat="1" applyFont="1" applyFill="1" applyAlignment="1">
      <alignment horizontal="right" vertical="center" wrapText="1"/>
    </xf>
    <xf numFmtId="4" fontId="0" fillId="8" borderId="69" xfId="0" applyNumberFormat="1" applyFill="1" applyBorder="1" applyAlignment="1">
      <alignment horizontal="right" vertical="center" wrapText="1"/>
    </xf>
    <xf numFmtId="44" fontId="0" fillId="0" borderId="48" xfId="0" applyNumberFormat="1" applyBorder="1" applyAlignment="1">
      <alignment horizontal="right" vertical="center" wrapText="1"/>
    </xf>
    <xf numFmtId="44" fontId="0" fillId="0" borderId="57" xfId="0" applyNumberFormat="1" applyBorder="1" applyAlignment="1">
      <alignment horizontal="right" vertical="center" wrapText="1"/>
    </xf>
    <xf numFmtId="44" fontId="0" fillId="0" borderId="55" xfId="0" applyNumberFormat="1" applyBorder="1" applyAlignment="1">
      <alignment horizontal="right" vertical="center" wrapText="1"/>
    </xf>
    <xf numFmtId="44" fontId="0" fillId="0" borderId="49" xfId="0" applyNumberFormat="1" applyBorder="1" applyAlignment="1">
      <alignment horizontal="right" vertical="center" wrapText="1"/>
    </xf>
    <xf numFmtId="4" fontId="0" fillId="2" borderId="0" xfId="0" applyNumberFormat="1" applyFill="1" applyAlignment="1">
      <alignment vertical="center"/>
    </xf>
    <xf numFmtId="2" fontId="1" fillId="8" borderId="11" xfId="0" applyNumberFormat="1" applyFont="1" applyFill="1" applyBorder="1" applyAlignment="1">
      <alignment vertical="center"/>
    </xf>
    <xf numFmtId="4" fontId="1" fillId="8" borderId="11" xfId="0" applyNumberFormat="1" applyFont="1" applyFill="1" applyBorder="1" applyAlignment="1">
      <alignment vertical="center"/>
    </xf>
    <xf numFmtId="10" fontId="1" fillId="8" borderId="11" xfId="0" applyNumberFormat="1" applyFont="1" applyFill="1" applyBorder="1" applyAlignment="1">
      <alignment vertical="top" wrapText="1"/>
    </xf>
    <xf numFmtId="4" fontId="1" fillId="8" borderId="11" xfId="0" applyNumberFormat="1" applyFont="1" applyFill="1" applyBorder="1" applyAlignment="1">
      <alignment vertical="top" wrapText="1"/>
    </xf>
    <xf numFmtId="4" fontId="0" fillId="9" borderId="36" xfId="0" applyNumberFormat="1" applyFill="1" applyBorder="1" applyAlignment="1">
      <alignment horizontal="right" vertical="center" wrapText="1"/>
    </xf>
    <xf numFmtId="4" fontId="0" fillId="9" borderId="41" xfId="0" applyNumberFormat="1" applyFill="1" applyBorder="1" applyAlignment="1">
      <alignment horizontal="right" vertical="center" wrapText="1"/>
    </xf>
    <xf numFmtId="44" fontId="1" fillId="9" borderId="22" xfId="12" applyFont="1" applyFill="1" applyBorder="1" applyAlignment="1">
      <alignment horizontal="right" vertical="center" wrapText="1"/>
    </xf>
    <xf numFmtId="10" fontId="25" fillId="9" borderId="24" xfId="1" applyNumberFormat="1" applyFont="1" applyFill="1" applyBorder="1" applyAlignment="1" applyProtection="1">
      <alignment horizontal="center" vertical="center" wrapText="1"/>
    </xf>
    <xf numFmtId="10" fontId="25" fillId="9" borderId="104" xfId="1" applyNumberFormat="1" applyFont="1" applyFill="1" applyBorder="1" applyAlignment="1" applyProtection="1">
      <alignment horizontal="center" vertical="center" wrapText="1"/>
    </xf>
    <xf numFmtId="4" fontId="0" fillId="9" borderId="71" xfId="0" applyNumberFormat="1" applyFill="1" applyBorder="1" applyAlignment="1">
      <alignment horizontal="right" vertical="center" wrapText="1"/>
    </xf>
    <xf numFmtId="10" fontId="25" fillId="9" borderId="84" xfId="1" applyNumberFormat="1" applyFont="1" applyFill="1" applyBorder="1" applyAlignment="1" applyProtection="1">
      <alignment horizontal="center" vertical="center" wrapText="1"/>
    </xf>
    <xf numFmtId="4" fontId="0" fillId="9" borderId="61" xfId="0" applyNumberFormat="1" applyFill="1" applyBorder="1" applyAlignment="1">
      <alignment horizontal="center" vertical="center" wrapText="1"/>
    </xf>
    <xf numFmtId="4" fontId="0" fillId="9" borderId="41" xfId="0" applyNumberFormat="1" applyFill="1" applyBorder="1" applyAlignment="1">
      <alignment horizontal="left" vertical="center" wrapText="1"/>
    </xf>
    <xf numFmtId="4" fontId="1" fillId="9" borderId="84" xfId="0" applyNumberFormat="1" applyFont="1" applyFill="1" applyBorder="1" applyAlignment="1">
      <alignment horizontal="left" vertical="center" wrapText="1"/>
    </xf>
    <xf numFmtId="4" fontId="0" fillId="9" borderId="6" xfId="0" applyNumberFormat="1" applyFill="1" applyBorder="1" applyAlignment="1">
      <alignment horizontal="right" vertical="center" wrapText="1"/>
    </xf>
    <xf numFmtId="44" fontId="1" fillId="9" borderId="1" xfId="12" applyFont="1" applyFill="1" applyBorder="1" applyAlignment="1" applyProtection="1">
      <alignment horizontal="right" vertical="center" wrapText="1"/>
      <protection locked="0"/>
    </xf>
    <xf numFmtId="44" fontId="1" fillId="9" borderId="84" xfId="12" applyFont="1" applyFill="1" applyBorder="1" applyAlignment="1">
      <alignment horizontal="right" vertical="center" wrapText="1"/>
    </xf>
    <xf numFmtId="44" fontId="1" fillId="9" borderId="40" xfId="12" applyFont="1" applyFill="1" applyBorder="1" applyAlignment="1">
      <alignment horizontal="right" vertical="center" wrapText="1"/>
    </xf>
    <xf numFmtId="10" fontId="25" fillId="9" borderId="39" xfId="1" applyNumberFormat="1" applyFont="1" applyFill="1" applyBorder="1" applyAlignment="1" applyProtection="1">
      <alignment horizontal="center" vertical="center" wrapText="1"/>
    </xf>
    <xf numFmtId="1" fontId="0" fillId="0" borderId="33" xfId="0" applyNumberFormat="1" applyBorder="1" applyAlignment="1">
      <alignment horizontal="center" vertical="center" wrapText="1"/>
    </xf>
    <xf numFmtId="2" fontId="0" fillId="0" borderId="34" xfId="0" applyNumberFormat="1" applyBorder="1" applyAlignment="1">
      <alignment horizontal="center" vertical="center" wrapText="1"/>
    </xf>
    <xf numFmtId="1" fontId="0" fillId="2" borderId="33" xfId="0" applyNumberFormat="1" applyFill="1" applyBorder="1" applyAlignment="1">
      <alignment horizontal="center" vertical="center" wrapText="1"/>
    </xf>
    <xf numFmtId="0" fontId="1" fillId="2" borderId="36" xfId="0" applyFont="1" applyFill="1" applyBorder="1" applyAlignment="1">
      <alignment horizontal="center" vertical="center"/>
    </xf>
    <xf numFmtId="10" fontId="0" fillId="2" borderId="0" xfId="1" applyNumberFormat="1" applyFont="1" applyFill="1" applyAlignment="1">
      <alignment vertical="center" wrapText="1"/>
    </xf>
    <xf numFmtId="0" fontId="0" fillId="0" borderId="63" xfId="0" applyBorder="1" applyAlignment="1">
      <alignment horizontal="right" vertical="center" wrapText="1"/>
    </xf>
    <xf numFmtId="0" fontId="0" fillId="0" borderId="48" xfId="0" applyBorder="1" applyAlignment="1">
      <alignment horizontal="right" vertical="center" wrapText="1"/>
    </xf>
    <xf numFmtId="0" fontId="0" fillId="0" borderId="48" xfId="0" applyBorder="1" applyAlignment="1">
      <alignment horizontal="left" vertical="center" wrapText="1"/>
    </xf>
    <xf numFmtId="0" fontId="0" fillId="0" borderId="48" xfId="0" applyBorder="1" applyAlignment="1">
      <alignment horizontal="center" vertical="center" wrapText="1"/>
    </xf>
    <xf numFmtId="4" fontId="0" fillId="0" borderId="48" xfId="0" applyNumberFormat="1" applyBorder="1" applyAlignment="1">
      <alignment horizontal="right" vertical="center" wrapText="1"/>
    </xf>
    <xf numFmtId="0" fontId="0" fillId="2" borderId="5" xfId="0" applyFill="1" applyBorder="1" applyAlignment="1">
      <alignment horizontal="left" vertical="center" wrapText="1"/>
    </xf>
    <xf numFmtId="4" fontId="0" fillId="8" borderId="11" xfId="0" applyNumberFormat="1" applyFill="1" applyBorder="1" applyAlignment="1">
      <alignment horizontal="center" vertical="center"/>
    </xf>
    <xf numFmtId="4" fontId="25" fillId="0" borderId="25" xfId="0" applyNumberFormat="1" applyFont="1" applyBorder="1" applyAlignment="1">
      <alignment horizontal="left" vertical="center" wrapText="1"/>
    </xf>
    <xf numFmtId="44" fontId="25" fillId="0" borderId="101" xfId="12" applyFont="1" applyFill="1" applyBorder="1" applyAlignment="1">
      <alignment horizontal="right" vertical="center" wrapText="1"/>
    </xf>
    <xf numFmtId="10" fontId="25" fillId="0" borderId="102" xfId="1" applyNumberFormat="1" applyFont="1" applyFill="1" applyBorder="1" applyAlignment="1" applyProtection="1">
      <alignment horizontal="center" vertical="center" wrapText="1"/>
    </xf>
    <xf numFmtId="44" fontId="24" fillId="0" borderId="27" xfId="12" applyFont="1" applyFill="1" applyBorder="1" applyAlignment="1" applyProtection="1">
      <alignment horizontal="right" vertical="center" wrapText="1"/>
      <protection locked="0"/>
    </xf>
    <xf numFmtId="10" fontId="24" fillId="0" borderId="25" xfId="1" applyNumberFormat="1" applyFont="1" applyFill="1" applyBorder="1" applyAlignment="1" applyProtection="1">
      <alignment horizontal="center" vertical="center" wrapText="1"/>
    </xf>
    <xf numFmtId="44" fontId="1" fillId="0" borderId="61" xfId="12" applyFont="1" applyFill="1" applyBorder="1" applyAlignment="1" applyProtection="1">
      <alignment horizontal="right" vertical="center" wrapText="1"/>
      <protection locked="0"/>
    </xf>
    <xf numFmtId="10" fontId="25" fillId="0" borderId="106" xfId="1" applyNumberFormat="1" applyFont="1" applyFill="1" applyBorder="1" applyAlignment="1" applyProtection="1">
      <alignment horizontal="center" vertical="center" wrapText="1"/>
    </xf>
    <xf numFmtId="4" fontId="25" fillId="0" borderId="13" xfId="0" applyNumberFormat="1" applyFont="1" applyBorder="1" applyAlignment="1">
      <alignment horizontal="left" vertical="center" wrapText="1"/>
    </xf>
    <xf numFmtId="44" fontId="25" fillId="0" borderId="35" xfId="12" applyFont="1" applyFill="1" applyBorder="1" applyAlignment="1">
      <alignment horizontal="right" vertical="center" wrapText="1"/>
    </xf>
    <xf numFmtId="10" fontId="25" fillId="0" borderId="95" xfId="1" applyNumberFormat="1" applyFont="1" applyFill="1" applyBorder="1" applyAlignment="1" applyProtection="1">
      <alignment horizontal="center" vertical="center" wrapText="1"/>
    </xf>
    <xf numFmtId="44" fontId="2" fillId="0" borderId="17" xfId="12" applyFont="1" applyFill="1" applyBorder="1" applyAlignment="1" applyProtection="1">
      <alignment horizontal="right" vertical="center" wrapText="1"/>
      <protection locked="0"/>
    </xf>
    <xf numFmtId="10" fontId="24" fillId="0" borderId="13" xfId="1" applyNumberFormat="1" applyFont="1" applyFill="1" applyBorder="1" applyAlignment="1" applyProtection="1">
      <alignment horizontal="center" vertical="center" wrapText="1"/>
    </xf>
    <xf numFmtId="44" fontId="1" fillId="0" borderId="100" xfId="12" applyFont="1" applyFill="1" applyBorder="1" applyAlignment="1" applyProtection="1">
      <alignment horizontal="right" vertical="center" wrapText="1"/>
      <protection locked="0"/>
    </xf>
    <xf numFmtId="10" fontId="25" fillId="0" borderId="96" xfId="1" applyNumberFormat="1" applyFont="1" applyFill="1" applyBorder="1" applyAlignment="1" applyProtection="1">
      <alignment horizontal="center" vertical="center" wrapText="1"/>
    </xf>
    <xf numFmtId="44" fontId="24" fillId="0" borderId="17" xfId="12" applyFont="1" applyFill="1" applyBorder="1" applyAlignment="1">
      <alignment horizontal="right" vertical="center" wrapText="1"/>
    </xf>
    <xf numFmtId="4" fontId="24" fillId="0" borderId="13" xfId="0" applyNumberFormat="1" applyFont="1" applyBorder="1" applyAlignment="1">
      <alignment horizontal="left" vertical="center" wrapText="1"/>
    </xf>
    <xf numFmtId="44" fontId="24" fillId="0" borderId="17" xfId="12" applyFont="1" applyFill="1" applyBorder="1" applyAlignment="1" applyProtection="1">
      <alignment horizontal="right" vertical="center" wrapText="1"/>
      <protection locked="0"/>
    </xf>
    <xf numFmtId="4" fontId="25" fillId="0" borderId="18" xfId="0" applyNumberFormat="1" applyFont="1" applyBorder="1" applyAlignment="1">
      <alignment horizontal="left" vertical="center" wrapText="1"/>
    </xf>
    <xf numFmtId="44" fontId="25" fillId="0" borderId="110" xfId="12" applyFont="1" applyFill="1" applyBorder="1" applyAlignment="1">
      <alignment horizontal="right" vertical="center" wrapText="1"/>
    </xf>
    <xf numFmtId="44" fontId="24" fillId="0" borderId="20" xfId="12" applyFont="1" applyFill="1" applyBorder="1" applyAlignment="1" applyProtection="1">
      <alignment horizontal="right" vertical="center" wrapText="1"/>
      <protection locked="0"/>
    </xf>
    <xf numFmtId="4" fontId="25" fillId="0" borderId="37" xfId="0" applyNumberFormat="1" applyFont="1" applyBorder="1" applyAlignment="1">
      <alignment horizontal="left" vertical="center" wrapText="1"/>
    </xf>
    <xf numFmtId="44" fontId="25" fillId="0" borderId="36" xfId="12" applyFont="1" applyFill="1" applyBorder="1" applyAlignment="1">
      <alignment horizontal="right" vertical="center" wrapText="1"/>
    </xf>
    <xf numFmtId="10" fontId="25" fillId="0" borderId="103" xfId="1" applyNumberFormat="1" applyFont="1" applyFill="1" applyBorder="1" applyAlignment="1" applyProtection="1">
      <alignment horizontal="center" vertical="center" wrapText="1"/>
    </xf>
    <xf numFmtId="44" fontId="24" fillId="0" borderId="38" xfId="12" applyFont="1" applyFill="1" applyBorder="1" applyAlignment="1" applyProtection="1">
      <alignment horizontal="right" vertical="center" wrapText="1"/>
      <protection locked="0"/>
    </xf>
    <xf numFmtId="44" fontId="1" fillId="0" borderId="105" xfId="12" applyFont="1" applyFill="1" applyBorder="1" applyAlignment="1" applyProtection="1">
      <alignment horizontal="right" vertical="center" wrapText="1"/>
      <protection locked="0"/>
    </xf>
    <xf numFmtId="10" fontId="25" fillId="0" borderId="107" xfId="1" applyNumberFormat="1" applyFont="1" applyFill="1" applyBorder="1" applyAlignment="1" applyProtection="1">
      <alignment horizontal="center" vertical="center" wrapText="1"/>
    </xf>
    <xf numFmtId="10" fontId="24" fillId="0" borderId="18" xfId="1" applyNumberFormat="1" applyFont="1" applyFill="1" applyBorder="1" applyAlignment="1" applyProtection="1">
      <alignment horizontal="center" vertical="center" wrapText="1"/>
    </xf>
    <xf numFmtId="10" fontId="24" fillId="0" borderId="37" xfId="1" applyNumberFormat="1" applyFont="1" applyFill="1" applyBorder="1" applyAlignment="1" applyProtection="1">
      <alignment horizontal="center" vertical="center" wrapText="1"/>
    </xf>
    <xf numFmtId="10" fontId="25" fillId="9" borderId="71" xfId="1" applyNumberFormat="1" applyFont="1" applyFill="1" applyBorder="1" applyAlignment="1" applyProtection="1">
      <alignment horizontal="center" vertical="center" wrapText="1"/>
    </xf>
    <xf numFmtId="44" fontId="24" fillId="0" borderId="101" xfId="12" applyFont="1" applyFill="1" applyBorder="1" applyAlignment="1" applyProtection="1">
      <alignment horizontal="right" vertical="center" wrapText="1"/>
    </xf>
    <xf numFmtId="10" fontId="24" fillId="0" borderId="102" xfId="1" applyNumberFormat="1" applyFont="1" applyFill="1" applyBorder="1" applyAlignment="1" applyProtection="1">
      <alignment horizontal="center" vertical="center" wrapText="1"/>
    </xf>
    <xf numFmtId="44" fontId="24" fillId="0" borderId="35" xfId="12" applyFont="1" applyFill="1" applyBorder="1" applyAlignment="1" applyProtection="1">
      <alignment horizontal="right" vertical="center" wrapText="1"/>
    </xf>
    <xf numFmtId="10" fontId="24" fillId="0" borderId="95" xfId="1" applyNumberFormat="1" applyFont="1" applyFill="1" applyBorder="1" applyAlignment="1" applyProtection="1">
      <alignment horizontal="center" vertical="center" wrapText="1"/>
    </xf>
    <xf numFmtId="44" fontId="24" fillId="0" borderId="35" xfId="12" applyFont="1" applyFill="1" applyBorder="1" applyAlignment="1">
      <alignment horizontal="right" vertical="center" wrapText="1"/>
    </xf>
    <xf numFmtId="4" fontId="1" fillId="9" borderId="84" xfId="0" applyNumberFormat="1" applyFont="1" applyFill="1" applyBorder="1" applyAlignment="1">
      <alignment horizontal="center" vertical="center" wrapText="1"/>
    </xf>
    <xf numFmtId="4" fontId="1" fillId="9" borderId="87" xfId="0" applyNumberFormat="1" applyFont="1" applyFill="1" applyBorder="1" applyAlignment="1">
      <alignment horizontal="center" vertical="center" wrapText="1"/>
    </xf>
    <xf numFmtId="4" fontId="1" fillId="9" borderId="88" xfId="0" applyNumberFormat="1" applyFont="1" applyFill="1" applyBorder="1" applyAlignment="1">
      <alignment horizontal="center" vertical="center" wrapText="1"/>
    </xf>
    <xf numFmtId="4" fontId="1" fillId="9" borderId="62" xfId="0" applyNumberFormat="1" applyFont="1" applyFill="1" applyBorder="1" applyAlignment="1">
      <alignment horizontal="center" vertical="center" wrapText="1"/>
    </xf>
    <xf numFmtId="4" fontId="1" fillId="9" borderId="112" xfId="0" applyNumberFormat="1" applyFont="1" applyFill="1" applyBorder="1" applyAlignment="1">
      <alignment horizontal="center" vertical="center" wrapText="1"/>
    </xf>
    <xf numFmtId="4" fontId="1" fillId="9" borderId="91" xfId="0" applyNumberFormat="1" applyFont="1" applyFill="1" applyBorder="1" applyAlignment="1">
      <alignment horizontal="center" vertical="center" wrapText="1"/>
    </xf>
    <xf numFmtId="4" fontId="1" fillId="9" borderId="111" xfId="0" applyNumberFormat="1" applyFont="1" applyFill="1" applyBorder="1" applyAlignment="1">
      <alignment horizontal="center" vertical="center" wrapText="1"/>
    </xf>
    <xf numFmtId="4" fontId="1" fillId="9" borderId="81" xfId="0" applyNumberFormat="1" applyFont="1" applyFill="1" applyBorder="1" applyAlignment="1">
      <alignment horizontal="center" vertical="center" wrapText="1"/>
    </xf>
    <xf numFmtId="3" fontId="25" fillId="0" borderId="101" xfId="0" applyNumberFormat="1" applyFont="1" applyBorder="1" applyAlignment="1">
      <alignment horizontal="center" vertical="center" wrapText="1"/>
    </xf>
    <xf numFmtId="3" fontId="25" fillId="0" borderId="35" xfId="0" applyNumberFormat="1" applyFont="1" applyBorder="1" applyAlignment="1">
      <alignment horizontal="center" vertical="center" wrapText="1"/>
    </xf>
    <xf numFmtId="4" fontId="24" fillId="0" borderId="35" xfId="0" applyNumberFormat="1" applyFont="1" applyBorder="1" applyAlignment="1">
      <alignment horizontal="center" vertical="center" wrapText="1"/>
    </xf>
    <xf numFmtId="3" fontId="25" fillId="0" borderId="110" xfId="0" applyNumberFormat="1" applyFont="1" applyBorder="1" applyAlignment="1">
      <alignment horizontal="center" vertical="center" wrapText="1"/>
    </xf>
    <xf numFmtId="3" fontId="25" fillId="0" borderId="36" xfId="0" applyNumberFormat="1" applyFont="1" applyBorder="1" applyAlignment="1">
      <alignment horizontal="center" vertical="center" wrapText="1"/>
    </xf>
    <xf numFmtId="2" fontId="1" fillId="9" borderId="103" xfId="0" applyNumberFormat="1" applyFont="1" applyFill="1" applyBorder="1" applyAlignment="1">
      <alignment horizontal="center" vertical="center"/>
    </xf>
    <xf numFmtId="0" fontId="1" fillId="9" borderId="64" xfId="0" applyFont="1" applyFill="1" applyBorder="1" applyAlignment="1">
      <alignment horizontal="right" vertical="center" wrapText="1"/>
    </xf>
    <xf numFmtId="0" fontId="1" fillId="9" borderId="26" xfId="0" applyFont="1" applyFill="1" applyBorder="1" applyAlignment="1">
      <alignment vertical="center" wrapText="1"/>
    </xf>
    <xf numFmtId="0" fontId="1" fillId="9" borderId="65" xfId="0" applyFont="1" applyFill="1" applyBorder="1" applyAlignment="1">
      <alignment horizontal="left" vertical="center" wrapText="1"/>
    </xf>
    <xf numFmtId="0" fontId="1" fillId="9" borderId="26" xfId="0" applyFont="1" applyFill="1" applyBorder="1" applyAlignment="1">
      <alignment horizontal="center" vertical="center" wrapText="1"/>
    </xf>
    <xf numFmtId="4" fontId="1" fillId="9" borderId="26" xfId="0" applyNumberFormat="1" applyFont="1" applyFill="1" applyBorder="1" applyAlignment="1">
      <alignment horizontal="right" vertical="center" wrapText="1"/>
    </xf>
    <xf numFmtId="44" fontId="1" fillId="9" borderId="26" xfId="0" applyNumberFormat="1" applyFont="1" applyFill="1" applyBorder="1" applyAlignment="1">
      <alignment horizontal="right" vertical="center" wrapText="1"/>
    </xf>
    <xf numFmtId="44" fontId="1" fillId="9" borderId="75" xfId="0" applyNumberFormat="1" applyFont="1" applyFill="1" applyBorder="1" applyAlignment="1">
      <alignment horizontal="right" vertical="center" wrapText="1"/>
    </xf>
    <xf numFmtId="0" fontId="1" fillId="9" borderId="61" xfId="0" applyFont="1" applyFill="1" applyBorder="1" applyAlignment="1">
      <alignment horizontal="right" vertical="center" wrapText="1"/>
    </xf>
    <xf numFmtId="0" fontId="0" fillId="9" borderId="26" xfId="0" applyFill="1" applyBorder="1" applyAlignment="1">
      <alignment vertical="center" wrapText="1"/>
    </xf>
    <xf numFmtId="0" fontId="1" fillId="9" borderId="26" xfId="0" applyFont="1" applyFill="1" applyBorder="1" applyAlignment="1">
      <alignment horizontal="left" vertical="center" wrapText="1"/>
    </xf>
    <xf numFmtId="0" fontId="0" fillId="9" borderId="26" xfId="0" applyFill="1" applyBorder="1" applyAlignment="1">
      <alignment horizontal="center" vertical="center" wrapText="1"/>
    </xf>
    <xf numFmtId="4" fontId="0" fillId="9" borderId="26" xfId="0" applyNumberFormat="1" applyFill="1" applyBorder="1" applyAlignment="1">
      <alignment horizontal="right" vertical="center" wrapText="1"/>
    </xf>
    <xf numFmtId="44" fontId="0" fillId="9" borderId="26" xfId="0" applyNumberFormat="1" applyFill="1" applyBorder="1" applyAlignment="1">
      <alignment horizontal="right" vertical="center" wrapText="1"/>
    </xf>
    <xf numFmtId="44" fontId="0" fillId="9" borderId="75" xfId="0" applyNumberFormat="1" applyFill="1" applyBorder="1" applyAlignment="1">
      <alignment horizontal="right" vertical="center" wrapText="1"/>
    </xf>
    <xf numFmtId="44" fontId="1" fillId="9" borderId="52" xfId="0" applyNumberFormat="1" applyFont="1" applyFill="1" applyBorder="1" applyAlignment="1">
      <alignment horizontal="right" vertical="center" wrapText="1"/>
    </xf>
    <xf numFmtId="0" fontId="1" fillId="9" borderId="63" xfId="0" applyFont="1" applyFill="1" applyBorder="1" applyAlignment="1">
      <alignment horizontal="right" vertical="center" wrapText="1"/>
    </xf>
    <xf numFmtId="0" fontId="1" fillId="9" borderId="16" xfId="0" applyFont="1" applyFill="1" applyBorder="1" applyAlignment="1">
      <alignment horizontal="right" vertical="center" wrapText="1"/>
    </xf>
    <xf numFmtId="0" fontId="1" fillId="9" borderId="16" xfId="0" applyFont="1" applyFill="1" applyBorder="1" applyAlignment="1">
      <alignment horizontal="left" vertical="center" wrapText="1"/>
    </xf>
    <xf numFmtId="0" fontId="1" fillId="9" borderId="48" xfId="0" applyFont="1" applyFill="1" applyBorder="1" applyAlignment="1">
      <alignment horizontal="left" vertical="center" wrapText="1"/>
    </xf>
    <xf numFmtId="0" fontId="1" fillId="9" borderId="16" xfId="0" applyFont="1" applyFill="1" applyBorder="1" applyAlignment="1">
      <alignment horizontal="center" vertical="center" wrapText="1"/>
    </xf>
    <xf numFmtId="4" fontId="1" fillId="9" borderId="16" xfId="0" applyNumberFormat="1" applyFont="1" applyFill="1" applyBorder="1" applyAlignment="1">
      <alignment horizontal="right" vertical="center" wrapText="1"/>
    </xf>
    <xf numFmtId="44" fontId="1" fillId="9" borderId="16" xfId="0" applyNumberFormat="1" applyFont="1" applyFill="1" applyBorder="1" applyAlignment="1">
      <alignment horizontal="right" vertical="center" wrapText="1"/>
    </xf>
    <xf numFmtId="44" fontId="1" fillId="9" borderId="77" xfId="0" applyNumberFormat="1" applyFont="1" applyFill="1" applyBorder="1" applyAlignment="1">
      <alignment horizontal="right" vertical="center" wrapText="1"/>
    </xf>
    <xf numFmtId="0" fontId="1" fillId="9" borderId="26" xfId="0" applyFont="1" applyFill="1" applyBorder="1" applyAlignment="1">
      <alignment horizontal="right" vertical="center" wrapText="1"/>
    </xf>
    <xf numFmtId="0" fontId="26" fillId="9" borderId="9" xfId="0" applyFont="1" applyFill="1" applyBorder="1" applyAlignment="1">
      <alignment horizontal="left" vertical="center" wrapText="1"/>
    </xf>
    <xf numFmtId="0" fontId="26" fillId="9" borderId="7" xfId="0" applyFont="1" applyFill="1" applyBorder="1" applyAlignment="1">
      <alignment vertical="center" wrapText="1"/>
    </xf>
    <xf numFmtId="170" fontId="26" fillId="9" borderId="91" xfId="0" applyNumberFormat="1" applyFont="1" applyFill="1" applyBorder="1" applyAlignment="1">
      <alignment horizontal="center" vertical="center" wrapText="1"/>
    </xf>
    <xf numFmtId="44" fontId="1" fillId="9" borderId="79" xfId="0" applyNumberFormat="1" applyFont="1" applyFill="1" applyBorder="1" applyAlignment="1">
      <alignment horizontal="right" vertical="center" wrapText="1"/>
    </xf>
    <xf numFmtId="44" fontId="1" fillId="9" borderId="78" xfId="0" applyNumberFormat="1" applyFont="1" applyFill="1" applyBorder="1" applyAlignment="1">
      <alignment horizontal="right" vertical="center" wrapText="1"/>
    </xf>
    <xf numFmtId="44" fontId="1" fillId="9" borderId="76" xfId="0" applyNumberFormat="1" applyFont="1" applyFill="1" applyBorder="1" applyAlignment="1">
      <alignment horizontal="right" vertical="center" wrapText="1"/>
    </xf>
    <xf numFmtId="0" fontId="1" fillId="9" borderId="16" xfId="0" applyFont="1" applyFill="1" applyBorder="1" applyAlignment="1">
      <alignment vertical="center" wrapText="1"/>
    </xf>
    <xf numFmtId="3" fontId="25" fillId="0" borderId="0" xfId="0" applyNumberFormat="1" applyFont="1" applyAlignment="1">
      <alignment horizontal="center" vertical="center" wrapText="1"/>
    </xf>
    <xf numFmtId="4" fontId="25" fillId="0" borderId="0" xfId="0" applyNumberFormat="1" applyFont="1" applyAlignment="1">
      <alignment horizontal="left" vertical="center" wrapText="1"/>
    </xf>
    <xf numFmtId="44" fontId="25" fillId="0" borderId="0" xfId="12" applyFont="1" applyFill="1" applyBorder="1" applyAlignment="1">
      <alignment horizontal="right" vertical="center" wrapText="1"/>
    </xf>
    <xf numFmtId="10" fontId="25" fillId="0" borderId="0" xfId="1" applyNumberFormat="1" applyFont="1" applyFill="1" applyBorder="1" applyAlignment="1" applyProtection="1">
      <alignment horizontal="center" vertical="center" wrapText="1"/>
    </xf>
    <xf numFmtId="44" fontId="24" fillId="0" borderId="0" xfId="12" applyFont="1" applyFill="1" applyBorder="1" applyAlignment="1" applyProtection="1">
      <alignment horizontal="right" vertical="center" wrapText="1"/>
      <protection locked="0"/>
    </xf>
    <xf numFmtId="10" fontId="24" fillId="0" borderId="0" xfId="1" applyNumberFormat="1" applyFont="1" applyFill="1" applyBorder="1" applyAlignment="1" applyProtection="1">
      <alignment horizontal="center" vertical="center" wrapText="1"/>
    </xf>
    <xf numFmtId="44" fontId="24" fillId="0" borderId="0" xfId="12" applyFont="1" applyFill="1" applyBorder="1" applyAlignment="1">
      <alignment horizontal="right" vertical="center" wrapText="1"/>
    </xf>
    <xf numFmtId="44" fontId="1" fillId="0" borderId="0" xfId="12" applyFont="1" applyFill="1" applyBorder="1" applyAlignment="1" applyProtection="1">
      <alignment horizontal="right" vertical="center" wrapText="1"/>
      <protection locked="0"/>
    </xf>
    <xf numFmtId="44" fontId="24" fillId="0" borderId="36" xfId="12" applyFont="1" applyFill="1" applyBorder="1" applyAlignment="1">
      <alignment horizontal="right" vertical="center" wrapText="1"/>
    </xf>
    <xf numFmtId="10" fontId="24" fillId="0" borderId="103" xfId="1" applyNumberFormat="1" applyFont="1" applyFill="1" applyBorder="1" applyAlignment="1" applyProtection="1">
      <alignment horizontal="center" vertical="center" wrapText="1"/>
    </xf>
    <xf numFmtId="4" fontId="0" fillId="0" borderId="0" xfId="0" applyNumberFormat="1" applyAlignment="1">
      <alignment horizontal="center" vertical="center" wrapText="1"/>
    </xf>
    <xf numFmtId="4" fontId="0" fillId="0" borderId="0" xfId="0" applyNumberFormat="1" applyAlignment="1">
      <alignment horizontal="center" vertical="center"/>
    </xf>
    <xf numFmtId="44" fontId="0" fillId="0" borderId="0" xfId="12" applyFont="1"/>
    <xf numFmtId="0" fontId="31" fillId="11" borderId="113" xfId="0" applyFont="1" applyFill="1" applyBorder="1" applyAlignment="1">
      <alignment horizontal="center" vertical="center" wrapText="1"/>
    </xf>
    <xf numFmtId="0" fontId="31" fillId="11" borderId="114" xfId="0" applyFont="1" applyFill="1" applyBorder="1" applyAlignment="1">
      <alignment horizontal="center" vertical="center" wrapText="1"/>
    </xf>
    <xf numFmtId="0" fontId="31" fillId="11" borderId="115" xfId="0" applyFont="1" applyFill="1" applyBorder="1" applyAlignment="1">
      <alignment horizontal="center" vertical="center" wrapText="1"/>
    </xf>
    <xf numFmtId="174" fontId="31" fillId="11" borderId="116" xfId="12" applyNumberFormat="1" applyFont="1" applyFill="1" applyBorder="1" applyAlignment="1">
      <alignment horizontal="center" vertical="center" wrapText="1"/>
    </xf>
    <xf numFmtId="0" fontId="31" fillId="11" borderId="117" xfId="0" applyFont="1" applyFill="1" applyBorder="1" applyAlignment="1">
      <alignment horizontal="center" vertical="center" wrapText="1"/>
    </xf>
    <xf numFmtId="174" fontId="31" fillId="11" borderId="118" xfId="12" applyNumberFormat="1" applyFont="1" applyFill="1" applyBorder="1" applyAlignment="1">
      <alignment horizontal="center" vertical="center" wrapText="1"/>
    </xf>
    <xf numFmtId="0" fontId="31" fillId="11" borderId="119" xfId="0" applyFont="1" applyFill="1" applyBorder="1" applyAlignment="1">
      <alignment horizontal="center" vertical="center" wrapText="1"/>
    </xf>
    <xf numFmtId="0" fontId="31" fillId="11" borderId="120" xfId="0" applyFont="1" applyFill="1" applyBorder="1" applyAlignment="1">
      <alignment horizontal="center" vertical="center" wrapText="1"/>
    </xf>
    <xf numFmtId="174" fontId="31" fillId="11" borderId="121" xfId="12" applyNumberFormat="1" applyFont="1" applyFill="1" applyBorder="1" applyAlignment="1">
      <alignment horizontal="center" vertical="center" wrapText="1"/>
    </xf>
    <xf numFmtId="0" fontId="23" fillId="11" borderId="22" xfId="0" applyFont="1" applyFill="1" applyBorder="1" applyAlignment="1">
      <alignment horizontal="center" vertical="center" wrapText="1"/>
    </xf>
    <xf numFmtId="44" fontId="23" fillId="11" borderId="24" xfId="12" applyFont="1" applyFill="1" applyBorder="1" applyAlignment="1">
      <alignment horizontal="center" vertical="center" wrapText="1"/>
    </xf>
    <xf numFmtId="0" fontId="30" fillId="10" borderId="122" xfId="0" applyFont="1" applyFill="1" applyBorder="1" applyAlignment="1">
      <alignment horizontal="center" vertical="center" wrapText="1"/>
    </xf>
    <xf numFmtId="0" fontId="30" fillId="10" borderId="123" xfId="0" applyFont="1" applyFill="1" applyBorder="1" applyAlignment="1">
      <alignment horizontal="center" vertical="center" wrapText="1"/>
    </xf>
    <xf numFmtId="0" fontId="30" fillId="10" borderId="124" xfId="0" applyFont="1" applyFill="1" applyBorder="1" applyAlignment="1">
      <alignment horizontal="center" vertical="center" wrapText="1"/>
    </xf>
    <xf numFmtId="164" fontId="0" fillId="2" borderId="0" xfId="0" applyNumberFormat="1" applyFill="1" applyAlignment="1">
      <alignment horizontal="center" vertical="center" wrapText="1"/>
    </xf>
    <xf numFmtId="0" fontId="29" fillId="2" borderId="92" xfId="0" applyFont="1" applyFill="1" applyBorder="1" applyAlignment="1">
      <alignment horizontal="center" vertical="center" wrapText="1"/>
    </xf>
    <xf numFmtId="0" fontId="29" fillId="2" borderId="93" xfId="0" applyFont="1" applyFill="1" applyBorder="1" applyAlignment="1">
      <alignment horizontal="center" vertical="center" wrapText="1"/>
    </xf>
    <xf numFmtId="0" fontId="29" fillId="2" borderId="94"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28" fillId="9" borderId="2"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60" xfId="0" applyFont="1" applyFill="1" applyBorder="1" applyAlignment="1">
      <alignment horizontal="center" vertical="center" wrapText="1"/>
    </xf>
    <xf numFmtId="4" fontId="1" fillId="2" borderId="72" xfId="0" applyNumberFormat="1" applyFont="1" applyFill="1" applyBorder="1" applyAlignment="1">
      <alignment horizontal="center" vertical="center" wrapText="1"/>
    </xf>
    <xf numFmtId="4" fontId="1" fillId="2" borderId="60" xfId="0" applyNumberFormat="1" applyFont="1" applyFill="1" applyBorder="1" applyAlignment="1">
      <alignment horizontal="center" vertical="center" wrapText="1"/>
    </xf>
    <xf numFmtId="4" fontId="1" fillId="2" borderId="73" xfId="0" applyNumberFormat="1" applyFont="1" applyFill="1" applyBorder="1" applyAlignment="1">
      <alignment horizontal="center" vertical="center" wrapText="1"/>
    </xf>
    <xf numFmtId="4" fontId="1" fillId="2" borderId="74" xfId="0" applyNumberFormat="1" applyFont="1" applyFill="1" applyBorder="1" applyAlignment="1">
      <alignment horizontal="center" vertical="center" wrapText="1"/>
    </xf>
    <xf numFmtId="164" fontId="0" fillId="2" borderId="19" xfId="0" applyNumberFormat="1" applyFill="1" applyBorder="1" applyAlignment="1">
      <alignment horizontal="center" vertical="center" wrapText="1"/>
    </xf>
    <xf numFmtId="0" fontId="0" fillId="2" borderId="0" xfId="0" applyFill="1" applyAlignment="1">
      <alignment horizontal="left" vertical="center"/>
    </xf>
    <xf numFmtId="0" fontId="1" fillId="2" borderId="10"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2" borderId="51"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5" xfId="0" applyFont="1" applyFill="1" applyBorder="1" applyAlignment="1">
      <alignment horizontal="center" vertical="center"/>
    </xf>
    <xf numFmtId="0" fontId="0" fillId="2" borderId="66" xfId="0" applyFill="1" applyBorder="1" applyAlignment="1">
      <alignment horizontal="center" vertical="center" wrapText="1"/>
    </xf>
    <xf numFmtId="0" fontId="0" fillId="2" borderId="49" xfId="0" applyFill="1" applyBorder="1" applyAlignment="1">
      <alignment horizontal="center" vertical="center" wrapText="1"/>
    </xf>
    <xf numFmtId="0" fontId="30" fillId="10" borderId="0" xfId="0" applyFont="1" applyFill="1" applyAlignment="1">
      <alignment horizontal="center" wrapText="1"/>
    </xf>
    <xf numFmtId="0" fontId="0" fillId="0" borderId="0" xfId="0"/>
    <xf numFmtId="4" fontId="1" fillId="9" borderId="4" xfId="0" applyNumberFormat="1" applyFont="1" applyFill="1" applyBorder="1" applyAlignment="1">
      <alignment horizontal="center" vertical="center" wrapText="1"/>
    </xf>
    <xf numFmtId="4" fontId="1" fillId="9" borderId="5" xfId="0" applyNumberFormat="1" applyFont="1" applyFill="1" applyBorder="1" applyAlignment="1">
      <alignment horizontal="center" vertical="center" wrapText="1"/>
    </xf>
    <xf numFmtId="4" fontId="1" fillId="9" borderId="6" xfId="0" applyNumberFormat="1" applyFont="1" applyFill="1" applyBorder="1" applyAlignment="1">
      <alignment horizontal="center" vertical="center" wrapText="1"/>
    </xf>
    <xf numFmtId="4" fontId="28" fillId="9" borderId="1" xfId="0" applyNumberFormat="1" applyFont="1" applyFill="1" applyBorder="1" applyAlignment="1">
      <alignment horizontal="center" vertical="center" wrapText="1"/>
    </xf>
    <xf numFmtId="4" fontId="28" fillId="9" borderId="2" xfId="0" applyNumberFormat="1" applyFont="1" applyFill="1" applyBorder="1" applyAlignment="1">
      <alignment horizontal="center" vertical="center" wrapText="1"/>
    </xf>
    <xf numFmtId="4" fontId="28" fillId="9" borderId="3" xfId="0" applyNumberFormat="1" applyFont="1" applyFill="1" applyBorder="1" applyAlignment="1">
      <alignment horizontal="center" vertical="center" wrapText="1"/>
    </xf>
    <xf numFmtId="4" fontId="28" fillId="2" borderId="10" xfId="0" applyNumberFormat="1" applyFont="1" applyFill="1" applyBorder="1" applyAlignment="1">
      <alignment horizontal="center" vertical="center" wrapText="1"/>
    </xf>
    <xf numFmtId="4" fontId="1" fillId="9" borderId="85" xfId="0" applyNumberFormat="1" applyFont="1" applyFill="1" applyBorder="1" applyAlignment="1">
      <alignment horizontal="center" vertical="center" wrapText="1"/>
    </xf>
    <xf numFmtId="4" fontId="1" fillId="9" borderId="86" xfId="0" applyNumberFormat="1" applyFont="1" applyFill="1" applyBorder="1" applyAlignment="1">
      <alignment horizontal="center" vertical="center" wrapText="1"/>
    </xf>
    <xf numFmtId="4" fontId="1" fillId="9" borderId="82" xfId="0" applyNumberFormat="1" applyFont="1" applyFill="1" applyBorder="1" applyAlignment="1">
      <alignment horizontal="center" vertical="center" wrapText="1"/>
    </xf>
    <xf numFmtId="4" fontId="1" fillId="9" borderId="89" xfId="0" applyNumberFormat="1" applyFont="1" applyFill="1" applyBorder="1" applyAlignment="1">
      <alignment horizontal="center" vertical="center" wrapText="1"/>
    </xf>
    <xf numFmtId="4" fontId="1" fillId="9" borderId="7" xfId="0" applyNumberFormat="1" applyFont="1" applyFill="1" applyBorder="1" applyAlignment="1">
      <alignment horizontal="center" vertical="center" wrapText="1"/>
    </xf>
    <xf numFmtId="4" fontId="1" fillId="9" borderId="8" xfId="0" applyNumberFormat="1" applyFont="1" applyFill="1" applyBorder="1" applyAlignment="1">
      <alignment horizontal="center" vertical="center" wrapText="1"/>
    </xf>
    <xf numFmtId="4" fontId="0" fillId="2" borderId="69" xfId="0" applyNumberFormat="1" applyFill="1" applyBorder="1" applyAlignment="1">
      <alignment horizontal="center" vertical="center" wrapText="1"/>
    </xf>
    <xf numFmtId="0" fontId="0" fillId="2" borderId="69" xfId="0" applyFill="1" applyBorder="1" applyAlignment="1">
      <alignment horizontal="center" vertical="center" wrapText="1"/>
    </xf>
    <xf numFmtId="0" fontId="0" fillId="2" borderId="0" xfId="0" applyFill="1" applyAlignment="1">
      <alignment horizontal="center" vertical="center" wrapText="1"/>
    </xf>
    <xf numFmtId="0" fontId="0" fillId="2" borderId="11"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2" fontId="0" fillId="2" borderId="13" xfId="0" applyNumberFormat="1" applyFill="1" applyBorder="1" applyAlignment="1">
      <alignment horizontal="center" vertical="center" wrapText="1"/>
    </xf>
    <xf numFmtId="2" fontId="0" fillId="2" borderId="17" xfId="0" applyNumberFormat="1" applyFill="1" applyBorder="1" applyAlignment="1">
      <alignment horizontal="center" vertical="center" wrapText="1"/>
    </xf>
    <xf numFmtId="4" fontId="0" fillId="2" borderId="0" xfId="0" applyNumberFormat="1" applyFill="1" applyAlignment="1">
      <alignment horizontal="center" vertical="center" wrapText="1"/>
    </xf>
    <xf numFmtId="0" fontId="1" fillId="2" borderId="28" xfId="0" applyFont="1" applyFill="1" applyBorder="1" applyAlignment="1">
      <alignment horizontal="center" vertical="center" wrapText="1"/>
    </xf>
    <xf numFmtId="0" fontId="1" fillId="2" borderId="10" xfId="0" applyFont="1" applyFill="1" applyBorder="1" applyAlignment="1">
      <alignment horizontal="center" vertical="center"/>
    </xf>
    <xf numFmtId="0" fontId="0" fillId="9" borderId="4" xfId="0" applyFill="1"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0" fillId="2" borderId="0" xfId="0" applyFill="1" applyAlignment="1">
      <alignment horizontal="left" vertical="top"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97" xfId="0" applyFill="1" applyBorder="1" applyAlignment="1">
      <alignment horizontal="center" vertical="center"/>
    </xf>
    <xf numFmtId="0" fontId="0" fillId="2" borderId="98" xfId="0" applyFill="1" applyBorder="1" applyAlignment="1">
      <alignment horizontal="center" vertical="center"/>
    </xf>
    <xf numFmtId="0" fontId="0" fillId="2" borderId="99" xfId="0"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0" fillId="2" borderId="12" xfId="0"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17" xfId="0" applyFill="1" applyBorder="1" applyAlignment="1">
      <alignment horizontal="center" vertical="center"/>
    </xf>
    <xf numFmtId="9" fontId="1" fillId="2" borderId="14" xfId="0" applyNumberFormat="1" applyFont="1" applyFill="1" applyBorder="1" applyAlignment="1">
      <alignment horizontal="center" vertical="center" wrapText="1"/>
    </xf>
    <xf numFmtId="9" fontId="1" fillId="2" borderId="15" xfId="0" applyNumberFormat="1" applyFont="1" applyFill="1" applyBorder="1" applyAlignment="1">
      <alignment horizontal="center" vertical="center" wrapText="1"/>
    </xf>
    <xf numFmtId="0" fontId="0" fillId="2" borderId="0" xfId="0" applyFill="1" applyAlignment="1">
      <alignment horizontal="left" vertical="top"/>
    </xf>
    <xf numFmtId="1" fontId="0" fillId="2" borderId="19" xfId="0" applyNumberFormat="1" applyFill="1" applyBorder="1" applyAlignment="1">
      <alignment horizontal="center" vertical="center" wrapText="1"/>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27" fillId="2" borderId="11" xfId="0" applyFont="1" applyFill="1"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left" vertical="center" wrapText="1"/>
    </xf>
    <xf numFmtId="0" fontId="0" fillId="0" borderId="0" xfId="0" applyAlignment="1">
      <alignment vertical="center"/>
    </xf>
    <xf numFmtId="9" fontId="1" fillId="0" borderId="14" xfId="0" applyNumberFormat="1" applyFont="1" applyBorder="1" applyAlignment="1">
      <alignment horizontal="center" vertical="center" wrapText="1"/>
    </xf>
    <xf numFmtId="9" fontId="1" fillId="0" borderId="12" xfId="0" applyNumberFormat="1" applyFont="1" applyBorder="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left" vertical="top" wrapText="1"/>
    </xf>
    <xf numFmtId="0" fontId="1" fillId="2" borderId="101" xfId="0" applyFont="1" applyFill="1" applyBorder="1" applyAlignment="1">
      <alignment horizontal="center" vertical="center" wrapText="1"/>
    </xf>
    <xf numFmtId="0" fontId="1" fillId="2" borderId="108" xfId="0" applyFont="1" applyFill="1" applyBorder="1" applyAlignment="1">
      <alignment horizontal="center" vertical="center" wrapText="1"/>
    </xf>
    <xf numFmtId="0" fontId="1" fillId="2" borderId="102" xfId="0" applyFont="1" applyFill="1" applyBorder="1" applyAlignment="1">
      <alignment horizontal="center" vertical="center" wrapText="1"/>
    </xf>
    <xf numFmtId="0" fontId="1" fillId="2" borderId="109" xfId="0" applyFont="1" applyFill="1" applyBorder="1" applyAlignment="1">
      <alignment horizontal="center" vertical="center" wrapText="1"/>
    </xf>
    <xf numFmtId="0" fontId="1" fillId="2" borderId="0" xfId="0" applyFont="1" applyFill="1" applyAlignment="1">
      <alignment horizontal="center" vertical="center" wrapText="1"/>
    </xf>
    <xf numFmtId="0" fontId="0" fillId="2" borderId="69" xfId="0" applyFill="1" applyBorder="1" applyAlignment="1">
      <alignment horizontal="center" vertical="center"/>
    </xf>
    <xf numFmtId="0" fontId="15" fillId="3" borderId="0" xfId="3" applyFont="1" applyFill="1" applyAlignment="1">
      <alignment horizontal="left" wrapText="1"/>
    </xf>
    <xf numFmtId="0" fontId="13" fillId="3" borderId="0" xfId="3" applyFont="1" applyFill="1" applyAlignment="1">
      <alignment horizontal="center"/>
    </xf>
    <xf numFmtId="0" fontId="15" fillId="3" borderId="0" xfId="3" applyFont="1" applyFill="1" applyAlignment="1">
      <alignment horizontal="justify" vertical="top" wrapText="1"/>
    </xf>
    <xf numFmtId="0" fontId="15" fillId="3" borderId="0" xfId="3" applyFont="1" applyFill="1" applyAlignment="1">
      <alignment horizontal="justify"/>
    </xf>
    <xf numFmtId="0" fontId="15" fillId="3" borderId="0" xfId="3" applyFont="1" applyFill="1" applyAlignment="1">
      <alignment horizontal="left"/>
    </xf>
    <xf numFmtId="0" fontId="14" fillId="3" borderId="13" xfId="3" applyFont="1" applyFill="1" applyBorder="1" applyAlignment="1">
      <alignment horizontal="left" indent="1"/>
    </xf>
    <xf numFmtId="0" fontId="14" fillId="3" borderId="17" xfId="3" applyFont="1" applyFill="1" applyBorder="1" applyAlignment="1">
      <alignment horizontal="left" indent="1"/>
    </xf>
    <xf numFmtId="0" fontId="16" fillId="5" borderId="9" xfId="3" applyFont="1" applyFill="1" applyBorder="1" applyAlignment="1">
      <alignment horizontal="center" wrapText="1"/>
    </xf>
    <xf numFmtId="0" fontId="16" fillId="5" borderId="7" xfId="3" applyFont="1" applyFill="1" applyBorder="1" applyAlignment="1">
      <alignment horizontal="center" wrapText="1"/>
    </xf>
    <xf numFmtId="0" fontId="16" fillId="5" borderId="8" xfId="3" applyFont="1" applyFill="1" applyBorder="1" applyAlignment="1">
      <alignment horizontal="center" wrapText="1"/>
    </xf>
    <xf numFmtId="0" fontId="18" fillId="0" borderId="9" xfId="3" applyFont="1" applyBorder="1" applyAlignment="1">
      <alignment horizontal="center" vertical="center" wrapText="1"/>
    </xf>
    <xf numFmtId="0" fontId="18" fillId="0" borderId="7" xfId="3" applyFont="1" applyBorder="1" applyAlignment="1">
      <alignment horizontal="center" vertical="center" wrapText="1"/>
    </xf>
    <xf numFmtId="0" fontId="19" fillId="3" borderId="7" xfId="3" applyFont="1" applyFill="1" applyBorder="1" applyAlignment="1">
      <alignment horizontal="center" vertical="center" wrapText="1"/>
    </xf>
    <xf numFmtId="0" fontId="19" fillId="3" borderId="8" xfId="3" applyFont="1" applyFill="1" applyBorder="1" applyAlignment="1">
      <alignment horizontal="center" vertical="center" wrapText="1"/>
    </xf>
    <xf numFmtId="0" fontId="20" fillId="5" borderId="22" xfId="3" applyFont="1" applyFill="1" applyBorder="1" applyAlignment="1">
      <alignment horizontal="center"/>
    </xf>
    <xf numFmtId="0" fontId="20" fillId="5" borderId="23" xfId="3" applyFont="1" applyFill="1" applyBorder="1" applyAlignment="1">
      <alignment horizontal="center"/>
    </xf>
    <xf numFmtId="0" fontId="14" fillId="3" borderId="29" xfId="3" applyFont="1" applyFill="1" applyBorder="1" applyAlignment="1">
      <alignment horizontal="left" indent="1"/>
    </xf>
    <xf numFmtId="0" fontId="14" fillId="3" borderId="30" xfId="3" applyFont="1" applyFill="1" applyBorder="1" applyAlignment="1">
      <alignment horizontal="left" indent="1"/>
    </xf>
    <xf numFmtId="0" fontId="14" fillId="2" borderId="0" xfId="3" applyFont="1" applyFill="1" applyAlignment="1">
      <alignment horizontal="center" vertical="center"/>
    </xf>
    <xf numFmtId="0" fontId="14" fillId="3" borderId="1" xfId="3" applyFont="1" applyFill="1" applyBorder="1" applyAlignment="1">
      <alignment horizontal="center" vertical="center"/>
    </xf>
    <xf numFmtId="0" fontId="14" fillId="3" borderId="4" xfId="3" applyFont="1" applyFill="1" applyBorder="1" applyAlignment="1">
      <alignment horizontal="center" vertical="center"/>
    </xf>
    <xf numFmtId="0" fontId="14" fillId="3" borderId="2" xfId="3" applyFont="1" applyFill="1" applyBorder="1" applyAlignment="1">
      <alignment horizontal="center" vertical="center"/>
    </xf>
    <xf numFmtId="0" fontId="14" fillId="3" borderId="5" xfId="3" applyFont="1" applyFill="1" applyBorder="1" applyAlignment="1">
      <alignment horizontal="center" vertical="center"/>
    </xf>
    <xf numFmtId="0" fontId="14" fillId="3" borderId="3" xfId="3" applyFont="1" applyFill="1" applyBorder="1" applyAlignment="1">
      <alignment horizontal="left" vertical="center"/>
    </xf>
    <xf numFmtId="0" fontId="14" fillId="3" borderId="6" xfId="3" applyFont="1" applyFill="1" applyBorder="1" applyAlignment="1">
      <alignment horizontal="left" vertical="center"/>
    </xf>
    <xf numFmtId="0" fontId="20" fillId="6" borderId="22" xfId="3" applyFont="1" applyFill="1" applyBorder="1" applyAlignment="1">
      <alignment horizontal="center"/>
    </xf>
    <xf numFmtId="0" fontId="20" fillId="6" borderId="23" xfId="3" applyFont="1" applyFill="1" applyBorder="1" applyAlignment="1">
      <alignment horizontal="center"/>
    </xf>
    <xf numFmtId="0" fontId="20" fillId="6" borderId="24" xfId="3" applyFont="1" applyFill="1" applyBorder="1" applyAlignment="1">
      <alignment horizontal="center"/>
    </xf>
    <xf numFmtId="166" fontId="21" fillId="3" borderId="31" xfId="3" applyNumberFormat="1" applyFont="1" applyFill="1" applyBorder="1" applyAlignment="1">
      <alignment horizontal="center" wrapText="1"/>
    </xf>
    <xf numFmtId="166" fontId="21" fillId="3" borderId="0" xfId="3" applyNumberFormat="1" applyFont="1" applyFill="1" applyAlignment="1">
      <alignment horizontal="center" wrapText="1"/>
    </xf>
    <xf numFmtId="0" fontId="19" fillId="3" borderId="40" xfId="3" applyFont="1" applyFill="1" applyBorder="1" applyAlignment="1">
      <alignment horizontal="left" indent="2"/>
    </xf>
    <xf numFmtId="0" fontId="19" fillId="3" borderId="41" xfId="3" applyFont="1" applyFill="1" applyBorder="1" applyAlignment="1">
      <alignment horizontal="left" indent="2"/>
    </xf>
    <xf numFmtId="0" fontId="20" fillId="6" borderId="9" xfId="3" applyFont="1" applyFill="1" applyBorder="1" applyAlignment="1">
      <alignment horizontal="center"/>
    </xf>
    <xf numFmtId="0" fontId="20" fillId="6" borderId="7" xfId="3" applyFont="1" applyFill="1" applyBorder="1" applyAlignment="1">
      <alignment horizontal="center"/>
    </xf>
    <xf numFmtId="0" fontId="20" fillId="6" borderId="8" xfId="3" applyFont="1" applyFill="1" applyBorder="1" applyAlignment="1">
      <alignment horizontal="center"/>
    </xf>
    <xf numFmtId="0" fontId="14" fillId="2" borderId="0" xfId="3" applyFont="1" applyFill="1" applyAlignment="1">
      <alignment horizontal="center"/>
    </xf>
    <xf numFmtId="14" fontId="14" fillId="3" borderId="0" xfId="3" applyNumberFormat="1" applyFont="1" applyFill="1" applyAlignment="1">
      <alignment horizontal="right"/>
    </xf>
    <xf numFmtId="0" fontId="21" fillId="3" borderId="0" xfId="3" applyFont="1" applyFill="1" applyAlignment="1">
      <alignment horizontal="justify" vertical="top" wrapText="1"/>
    </xf>
    <xf numFmtId="0" fontId="14" fillId="3" borderId="19" xfId="3" applyFont="1" applyFill="1" applyBorder="1" applyAlignment="1">
      <alignment horizontal="center"/>
    </xf>
    <xf numFmtId="0" fontId="3" fillId="4" borderId="13" xfId="3" applyFill="1" applyBorder="1" applyProtection="1">
      <protection locked="0"/>
    </xf>
    <xf numFmtId="0" fontId="3" fillId="4" borderId="17" xfId="3" applyFill="1" applyBorder="1" applyProtection="1">
      <protection locked="0"/>
    </xf>
    <xf numFmtId="0" fontId="3" fillId="4" borderId="16" xfId="3" applyFill="1" applyBorder="1" applyAlignment="1" applyProtection="1">
      <alignment horizontal="left"/>
      <protection locked="0"/>
    </xf>
    <xf numFmtId="0" fontId="3" fillId="4" borderId="17" xfId="3" applyFill="1" applyBorder="1" applyAlignment="1" applyProtection="1">
      <alignment horizontal="left"/>
      <protection locked="0"/>
    </xf>
    <xf numFmtId="14" fontId="3" fillId="4" borderId="13" xfId="3" applyNumberFormat="1" applyFill="1" applyBorder="1" applyAlignment="1" applyProtection="1">
      <alignment horizontal="left"/>
      <protection locked="0"/>
    </xf>
    <xf numFmtId="0" fontId="3" fillId="4" borderId="11" xfId="0" applyFont="1" applyFill="1" applyBorder="1" applyProtection="1">
      <protection locked="0"/>
    </xf>
    <xf numFmtId="0" fontId="3" fillId="4" borderId="11" xfId="3" applyFill="1" applyBorder="1" applyAlignment="1" applyProtection="1">
      <alignment horizontal="left"/>
      <protection locked="0"/>
    </xf>
    <xf numFmtId="3" fontId="3" fillId="4" borderId="11" xfId="0" applyNumberFormat="1" applyFont="1" applyFill="1" applyBorder="1" applyProtection="1">
      <protection locked="0"/>
    </xf>
    <xf numFmtId="0" fontId="3" fillId="4" borderId="11" xfId="3" applyFill="1" applyBorder="1" applyProtection="1">
      <protection locked="0"/>
    </xf>
    <xf numFmtId="0" fontId="3" fillId="3" borderId="18" xfId="3" applyFill="1" applyBorder="1" applyAlignment="1">
      <alignment horizontal="center" vertical="center"/>
    </xf>
    <xf numFmtId="0" fontId="3" fillId="3" borderId="20" xfId="3" applyFill="1" applyBorder="1" applyAlignment="1">
      <alignment horizontal="center" vertical="center"/>
    </xf>
    <xf numFmtId="0" fontId="3" fillId="3" borderId="21" xfId="3" applyFill="1" applyBorder="1" applyAlignment="1">
      <alignment horizontal="center" vertical="center"/>
    </xf>
    <xf numFmtId="0" fontId="3" fillId="3" borderId="28" xfId="3" applyFill="1" applyBorder="1" applyAlignment="1">
      <alignment horizontal="center" vertical="center"/>
    </xf>
    <xf numFmtId="0" fontId="3" fillId="3" borderId="29" xfId="3" applyFill="1" applyBorder="1" applyAlignment="1">
      <alignment horizontal="center" vertical="center"/>
    </xf>
    <xf numFmtId="0" fontId="3" fillId="3" borderId="30" xfId="3" applyFill="1" applyBorder="1" applyAlignment="1">
      <alignment horizontal="center" vertical="center"/>
    </xf>
    <xf numFmtId="0" fontId="3" fillId="3" borderId="13" xfId="3" applyFill="1" applyBorder="1" applyAlignment="1">
      <alignment horizontal="left" indent="1"/>
    </xf>
    <xf numFmtId="0" fontId="3" fillId="3" borderId="16" xfId="3" applyFill="1" applyBorder="1" applyAlignment="1">
      <alignment horizontal="left" indent="1"/>
    </xf>
    <xf numFmtId="0" fontId="3" fillId="3" borderId="17" xfId="3" applyFill="1" applyBorder="1" applyAlignment="1">
      <alignment horizontal="left" indent="1"/>
    </xf>
    <xf numFmtId="0" fontId="3" fillId="0" borderId="0" xfId="3" applyAlignment="1">
      <alignment horizontal="left" wrapText="1"/>
    </xf>
    <xf numFmtId="0" fontId="7" fillId="5" borderId="9" xfId="3" applyFont="1" applyFill="1" applyBorder="1" applyAlignment="1">
      <alignment horizontal="center"/>
    </xf>
    <xf numFmtId="0" fontId="7" fillId="5" borderId="7" xfId="3" applyFont="1" applyFill="1" applyBorder="1" applyAlignment="1">
      <alignment horizontal="center"/>
    </xf>
    <xf numFmtId="0" fontId="7" fillId="5" borderId="8" xfId="3" applyFont="1" applyFill="1" applyBorder="1" applyAlignment="1">
      <alignment horizontal="center"/>
    </xf>
    <xf numFmtId="0" fontId="8" fillId="0" borderId="9" xfId="3" applyFont="1" applyBorder="1" applyAlignment="1">
      <alignment horizontal="center" vertical="center" wrapText="1"/>
    </xf>
    <xf numFmtId="0" fontId="8" fillId="0" borderId="7" xfId="3" applyFont="1" applyBorder="1" applyAlignment="1">
      <alignment horizontal="center" vertical="center" wrapText="1"/>
    </xf>
    <xf numFmtId="0" fontId="4" fillId="4" borderId="7" xfId="3" applyFont="1" applyFill="1" applyBorder="1" applyAlignment="1" applyProtection="1">
      <alignment horizontal="center" vertical="center" wrapText="1"/>
      <protection locked="0"/>
    </xf>
    <xf numFmtId="0" fontId="4" fillId="4" borderId="8" xfId="3" applyFont="1" applyFill="1" applyBorder="1" applyAlignment="1" applyProtection="1">
      <alignment horizontal="center" vertical="center" wrapText="1"/>
      <protection locked="0"/>
    </xf>
    <xf numFmtId="0" fontId="9" fillId="5" borderId="22" xfId="3" applyFont="1" applyFill="1" applyBorder="1" applyAlignment="1">
      <alignment horizontal="center"/>
    </xf>
    <xf numFmtId="0" fontId="9" fillId="5" borderId="23" xfId="3" applyFont="1" applyFill="1" applyBorder="1" applyAlignment="1">
      <alignment horizontal="center"/>
    </xf>
    <xf numFmtId="0" fontId="3" fillId="3" borderId="25" xfId="3" applyFill="1" applyBorder="1" applyAlignment="1">
      <alignment horizontal="left" indent="1"/>
    </xf>
    <xf numFmtId="0" fontId="3" fillId="3" borderId="26" xfId="3" applyFill="1" applyBorder="1" applyAlignment="1">
      <alignment horizontal="left" indent="1"/>
    </xf>
    <xf numFmtId="0" fontId="3" fillId="3" borderId="27" xfId="3" applyFill="1" applyBorder="1" applyAlignment="1">
      <alignment horizontal="left" indent="1"/>
    </xf>
    <xf numFmtId="0" fontId="3" fillId="3" borderId="18" xfId="3" applyFill="1" applyBorder="1" applyAlignment="1">
      <alignment horizontal="left" indent="1"/>
    </xf>
    <xf numFmtId="0" fontId="3" fillId="3" borderId="19" xfId="3" applyFill="1" applyBorder="1" applyAlignment="1">
      <alignment horizontal="left" indent="1"/>
    </xf>
    <xf numFmtId="0" fontId="3" fillId="3" borderId="20" xfId="3" applyFill="1" applyBorder="1" applyAlignment="1">
      <alignment horizontal="left" indent="1"/>
    </xf>
    <xf numFmtId="0" fontId="12" fillId="0" borderId="0" xfId="3" applyFont="1" applyAlignment="1">
      <alignment horizontal="left" vertical="center" wrapText="1"/>
    </xf>
    <xf numFmtId="0" fontId="9" fillId="6" borderId="9" xfId="3" applyFont="1" applyFill="1" applyBorder="1" applyAlignment="1">
      <alignment horizontal="center"/>
    </xf>
    <xf numFmtId="0" fontId="9" fillId="6" borderId="7" xfId="3" applyFont="1" applyFill="1" applyBorder="1" applyAlignment="1">
      <alignment horizontal="center"/>
    </xf>
    <xf numFmtId="0" fontId="9" fillId="6" borderId="8" xfId="3" applyFont="1" applyFill="1" applyBorder="1" applyAlignment="1">
      <alignment horizontal="center"/>
    </xf>
    <xf numFmtId="0" fontId="3" fillId="3" borderId="1" xfId="3" applyFill="1" applyBorder="1" applyAlignment="1">
      <alignment horizontal="center" vertical="center"/>
    </xf>
    <xf numFmtId="0" fontId="3" fillId="3" borderId="4" xfId="3" applyFill="1" applyBorder="1" applyAlignment="1">
      <alignment horizontal="center" vertical="center"/>
    </xf>
    <xf numFmtId="0" fontId="3" fillId="3" borderId="2" xfId="3" applyFill="1" applyBorder="1" applyAlignment="1">
      <alignment horizontal="center" vertical="center"/>
    </xf>
    <xf numFmtId="0" fontId="3" fillId="3" borderId="5" xfId="3" applyFill="1" applyBorder="1" applyAlignment="1">
      <alignment horizontal="center" vertical="center"/>
    </xf>
    <xf numFmtId="0" fontId="3" fillId="3" borderId="26" xfId="3" applyFill="1" applyBorder="1" applyAlignment="1">
      <alignment horizontal="center"/>
    </xf>
    <xf numFmtId="0" fontId="3" fillId="3" borderId="3" xfId="3" applyFill="1" applyBorder="1" applyAlignment="1">
      <alignment horizontal="left" vertical="center"/>
    </xf>
    <xf numFmtId="0" fontId="3" fillId="3" borderId="6" xfId="3" applyFill="1" applyBorder="1" applyAlignment="1">
      <alignment horizontal="left" vertical="center"/>
    </xf>
    <xf numFmtId="0" fontId="3" fillId="3" borderId="5" xfId="3" applyFill="1" applyBorder="1" applyAlignment="1">
      <alignment horizontal="center" vertical="top"/>
    </xf>
    <xf numFmtId="0" fontId="9" fillId="6" borderId="22" xfId="3" applyFont="1" applyFill="1" applyBorder="1" applyAlignment="1">
      <alignment horizontal="center"/>
    </xf>
    <xf numFmtId="0" fontId="9" fillId="6" borderId="23" xfId="3" applyFont="1" applyFill="1" applyBorder="1" applyAlignment="1">
      <alignment horizontal="center"/>
    </xf>
    <xf numFmtId="0" fontId="4" fillId="3" borderId="12" xfId="3" applyFont="1" applyFill="1" applyBorder="1" applyAlignment="1">
      <alignment horizontal="left" indent="2"/>
    </xf>
    <xf numFmtId="0" fontId="9" fillId="3" borderId="0" xfId="3" applyFont="1" applyFill="1" applyAlignment="1">
      <alignment horizontal="justify" vertical="top" wrapText="1"/>
    </xf>
    <xf numFmtId="0" fontId="11" fillId="3" borderId="0" xfId="3" applyFont="1" applyFill="1" applyAlignment="1">
      <alignment horizontal="justify" vertical="top" wrapText="1"/>
    </xf>
    <xf numFmtId="0" fontId="0" fillId="2" borderId="0" xfId="0" applyFill="1" applyBorder="1" applyAlignment="1">
      <alignment vertical="center" wrapText="1"/>
    </xf>
    <xf numFmtId="4" fontId="0" fillId="2" borderId="0" xfId="0" applyNumberFormat="1" applyFill="1" applyBorder="1" applyAlignment="1">
      <alignment horizontal="center" vertical="center" wrapText="1"/>
    </xf>
    <xf numFmtId="164" fontId="0" fillId="2" borderId="0" xfId="0" applyNumberFormat="1" applyFill="1" applyBorder="1" applyAlignment="1">
      <alignment horizontal="center" vertical="center" wrapText="1"/>
    </xf>
  </cellXfs>
  <cellStyles count="13">
    <cellStyle name="Moeda" xfId="12" builtinId="4"/>
    <cellStyle name="Moeda 2" xfId="8" xr:uid="{00000000-0005-0000-0000-000000000000}"/>
    <cellStyle name="Normal" xfId="0" builtinId="0"/>
    <cellStyle name="Normal 16 2" xfId="9" xr:uid="{00000000-0005-0000-0000-000002000000}"/>
    <cellStyle name="Normal 2" xfId="10" xr:uid="{00000000-0005-0000-0000-000003000000}"/>
    <cellStyle name="Normal 2 2" xfId="3" xr:uid="{00000000-0005-0000-0000-000004000000}"/>
    <cellStyle name="Normal 3" xfId="4" xr:uid="{00000000-0005-0000-0000-000005000000}"/>
    <cellStyle name="Porcentagem" xfId="1" builtinId="5"/>
    <cellStyle name="Porcentagem 2" xfId="6" xr:uid="{00000000-0005-0000-0000-000007000000}"/>
    <cellStyle name="Separador de milhares 2" xfId="7" xr:uid="{00000000-0005-0000-0000-000008000000}"/>
    <cellStyle name="Vírgula" xfId="2" builtinId="3"/>
    <cellStyle name="Vírgula 2" xfId="11" xr:uid="{00000000-0005-0000-0000-00000A000000}"/>
    <cellStyle name="Vírgula 2 2" xfId="5" xr:uid="{00000000-0005-0000-0000-00000B000000}"/>
  </cellStyles>
  <dxfs count="6">
    <dxf>
      <font>
        <b/>
        <i val="0"/>
        <condense val="0"/>
        <extend val="0"/>
        <color indexed="10"/>
      </font>
      <fill>
        <patternFill patternType="none">
          <bgColor indexed="65"/>
        </patternFill>
      </fill>
    </dxf>
    <dxf>
      <font>
        <condense val="0"/>
        <extend val="0"/>
        <color indexed="9"/>
      </font>
    </dxf>
    <dxf>
      <font>
        <b/>
        <i val="0"/>
        <strike val="0"/>
        <condense val="0"/>
        <extend val="0"/>
        <color indexed="10"/>
      </font>
      <fill>
        <patternFill>
          <bgColor indexed="43"/>
        </patternFill>
      </fill>
    </dxf>
    <dxf>
      <font>
        <color rgb="FFFF0000"/>
      </font>
    </dxf>
    <dxf>
      <font>
        <b/>
        <i val="0"/>
        <condense val="0"/>
        <extend val="0"/>
        <color indexed="10"/>
      </font>
    </dxf>
    <dxf>
      <font>
        <color theme="0"/>
      </font>
      <fill>
        <patternFill>
          <bgColor theme="0"/>
        </patternFill>
      </fill>
    </dxf>
  </dxfs>
  <tableStyles count="0" defaultTableStyle="TableStyleMedium9" defaultPivotStyle="PivotStyleLight16"/>
  <colors>
    <mruColors>
      <color rgb="FFBCE292"/>
      <color rgb="FFDC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400050</xdr:colOff>
      <xdr:row>13</xdr:row>
      <xdr:rowOff>171450</xdr:rowOff>
    </xdr:from>
    <xdr:to>
      <xdr:col>16</xdr:col>
      <xdr:colOff>592757</xdr:colOff>
      <xdr:row>26</xdr:row>
      <xdr:rowOff>0</xdr:rowOff>
    </xdr:to>
    <xdr:pic>
      <xdr:nvPicPr>
        <xdr:cNvPr id="3" name="Imagem 2">
          <a:extLst>
            <a:ext uri="{FF2B5EF4-FFF2-40B4-BE49-F238E27FC236}">
              <a16:creationId xmlns:a16="http://schemas.microsoft.com/office/drawing/2014/main" id="{02F66E12-037F-F7A0-9D1D-58F341D8E8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67800" y="3143250"/>
          <a:ext cx="4459907" cy="3048000"/>
        </a:xfrm>
        <a:prstGeom prst="rect">
          <a:avLst/>
        </a:prstGeom>
      </xdr:spPr>
    </xdr:pic>
    <xdr:clientData/>
  </xdr:twoCellAnchor>
  <xdr:twoCellAnchor editAs="oneCell">
    <xdr:from>
      <xdr:col>4</xdr:col>
      <xdr:colOff>1457325</xdr:colOff>
      <xdr:row>13</xdr:row>
      <xdr:rowOff>161925</xdr:rowOff>
    </xdr:from>
    <xdr:to>
      <xdr:col>9</xdr:col>
      <xdr:colOff>339821</xdr:colOff>
      <xdr:row>26</xdr:row>
      <xdr:rowOff>10951</xdr:rowOff>
    </xdr:to>
    <xdr:pic>
      <xdr:nvPicPr>
        <xdr:cNvPr id="5" name="Imagem 4">
          <a:extLst>
            <a:ext uri="{FF2B5EF4-FFF2-40B4-BE49-F238E27FC236}">
              <a16:creationId xmlns:a16="http://schemas.microsoft.com/office/drawing/2014/main" id="{80A4A3E1-6159-0C13-D70F-617BC4E622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24375" y="3133725"/>
          <a:ext cx="4483196" cy="3068476"/>
        </a:xfrm>
        <a:prstGeom prst="rect">
          <a:avLst/>
        </a:prstGeom>
      </xdr:spPr>
    </xdr:pic>
    <xdr:clientData/>
  </xdr:twoCellAnchor>
  <xdr:twoCellAnchor editAs="oneCell">
    <xdr:from>
      <xdr:col>0</xdr:col>
      <xdr:colOff>104775</xdr:colOff>
      <xdr:row>13</xdr:row>
      <xdr:rowOff>161925</xdr:rowOff>
    </xdr:from>
    <xdr:to>
      <xdr:col>4</xdr:col>
      <xdr:colOff>1409700</xdr:colOff>
      <xdr:row>26</xdr:row>
      <xdr:rowOff>493</xdr:rowOff>
    </xdr:to>
    <xdr:pic>
      <xdr:nvPicPr>
        <xdr:cNvPr id="7" name="Imagem 6">
          <a:extLst>
            <a:ext uri="{FF2B5EF4-FFF2-40B4-BE49-F238E27FC236}">
              <a16:creationId xmlns:a16="http://schemas.microsoft.com/office/drawing/2014/main" id="{2B7DA01D-F1F1-028C-1731-3D969225893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775" y="3133725"/>
          <a:ext cx="4371975" cy="3058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381000</xdr:colOff>
          <xdr:row>7</xdr:row>
          <xdr:rowOff>28575</xdr:rowOff>
        </xdr:from>
        <xdr:to>
          <xdr:col>8</xdr:col>
          <xdr:colOff>371475</xdr:colOff>
          <xdr:row>10</xdr:row>
          <xdr:rowOff>38100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pt-BR" sz="1000" b="1" i="0" u="none" strike="noStrike" baseline="0">
                  <a:solidFill>
                    <a:srgbClr val="000000"/>
                  </a:solidFill>
                  <a:latin typeface="Arial"/>
                  <a:cs typeface="Arial"/>
                </a:rPr>
                <a:t>IMPRIMIR</a:t>
              </a:r>
            </a:p>
            <a:p>
              <a:pPr algn="ctr" rtl="0">
                <a:defRPr sz="1000"/>
              </a:pPr>
              <a:r>
                <a:rPr lang="pt-BR" sz="1000" b="1" i="0" u="none" strike="noStrike" baseline="0">
                  <a:solidFill>
                    <a:srgbClr val="000000"/>
                  </a:solidFill>
                  <a:latin typeface="Arial"/>
                  <a:cs typeface="Arial"/>
                </a:rPr>
                <a:t>DECLARAÇÃO</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BRAS%20-%20Andamento/Pavimenta&#231;&#227;o%20-%20Rua%20Arthur%20Weber/03_Or&#231;amento/LiC%20-%20Or&#231;_Arthur%20Weber_v0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OBRAS%20-%20Concluidas\Pavimenta&#231;&#227;o%20-%20Industrial%202024%20-%20Emenda%20Pain%20e%20Marcel\02.%20Or&#231;amento\Or&#231;amento%20Pavimenta&#231;&#227;o%20-%20INDUSTRIAL.xlsx" TargetMode="External"/><Relationship Id="rId1" Type="http://schemas.openxmlformats.org/officeDocument/2006/relationships/externalLinkPath" Target="/OBRAS%20-%20Concluidas/Pavimenta&#231;&#227;o%20-%20Industrial%202024%20-%20Emenda%20Pain%20e%20Marcel/02.%20Or&#231;amento/Or&#231;amento%20Pavimenta&#231;&#227;o%20-%20INDUSTRI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BRAS%20-%20Andamento/Pavimenta&#231;&#227;o%20-%20Rua%20Rudolfo%20Behne/03_Or&#231;amento/Or&#231;-Pavimenta&#231;&#227;o%20-%20%20Rua%20Rudolfo%20Behne%20%20-%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c_G"/>
      <sheetName val="Orc_Lic"/>
      <sheetName val="Crono_G"/>
      <sheetName val="Crono_Lic"/>
      <sheetName val="CP01"/>
      <sheetName val="CP02"/>
      <sheetName val="CP03"/>
      <sheetName val="CP04"/>
      <sheetName val="CP05"/>
      <sheetName val="CP06"/>
      <sheetName val="CP07"/>
      <sheetName val="CP08"/>
      <sheetName val="CP09"/>
      <sheetName val="CP10"/>
      <sheetName val="CP11"/>
      <sheetName val="M_Glob"/>
      <sheetName val="R_Vol1"/>
      <sheetName val="R_Vol2"/>
      <sheetName val="M_DMT"/>
      <sheetName val="M_DH"/>
      <sheetName val="BDI_Declaracao"/>
      <sheetName val="BDI_Preencher"/>
      <sheetName val="R_Preço"/>
    </sheetNames>
    <sheetDataSet>
      <sheetData sheetId="0">
        <row r="3">
          <cell r="A3" t="str">
            <v>PROJETO EXECUTIVO DE PAVIMENTAÇÃO, MICRODRENAGEM URBANA E SINALIZAÇÃO VIÁRIA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refreshError="1"/>
      <sheetData sheetId="19" refreshError="1"/>
      <sheetData sheetId="20" refreshError="1"/>
      <sheetData sheetId="21">
        <row r="5">
          <cell r="H5" t="str">
            <v>Prefeitura Municipal de</v>
          </cell>
          <cell r="I5" t="str">
            <v>Empresa</v>
          </cell>
        </row>
        <row r="14">
          <cell r="H14" t="str">
            <v xml:space="preserve">CREA nº </v>
          </cell>
          <cell r="I14" t="str">
            <v xml:space="preserve">CAU nº </v>
          </cell>
        </row>
        <row r="19">
          <cell r="G19" t="str">
            <v>empreitada por preço global</v>
          </cell>
          <cell r="H19" t="str">
            <v>empreitada por preço unitário</v>
          </cell>
          <cell r="L19" t="str">
            <v>sem desoneração</v>
          </cell>
          <cell r="M19" t="str">
            <v>desonerados</v>
          </cell>
        </row>
        <row r="22">
          <cell r="L22" t="str">
            <v>valor total da obra</v>
          </cell>
          <cell r="M22" t="str">
            <v>valor da mão de obra</v>
          </cell>
        </row>
      </sheetData>
      <sheetData sheetId="22">
        <row r="8">
          <cell r="A8" t="str">
            <v>CP-1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çamento"/>
      <sheetName val="CP01"/>
      <sheetName val="CP02"/>
      <sheetName val="CP03"/>
      <sheetName val="Crono"/>
      <sheetName val="M_Glob"/>
      <sheetName val="M_DMT"/>
      <sheetName val="BDI_Declaracao"/>
      <sheetName val="BDI_Preencher"/>
      <sheetName val="R_Preço"/>
    </sheetNames>
    <sheetDataSet>
      <sheetData sheetId="0"/>
      <sheetData sheetId="1"/>
      <sheetData sheetId="2"/>
      <sheetData sheetId="3"/>
      <sheetData sheetId="4"/>
      <sheetData sheetId="5"/>
      <sheetData sheetId="6"/>
      <sheetData sheetId="7"/>
      <sheetData sheetId="8"/>
      <sheetData sheetId="9">
        <row r="8">
          <cell r="A8" t="str">
            <v>CP-1</v>
          </cell>
          <cell r="B8" t="str">
            <v>CP</v>
          </cell>
          <cell r="C8">
            <v>1</v>
          </cell>
          <cell r="D8" t="str">
            <v>Mobilização e Desmobilização de Equipamentos de Grande e Médio Porte</v>
          </cell>
          <cell r="E8" t="str">
            <v>%</v>
          </cell>
          <cell r="F8">
            <v>1308.46</v>
          </cell>
        </row>
        <row r="9">
          <cell r="A9" t="str">
            <v>CP-2</v>
          </cell>
          <cell r="B9" t="str">
            <v>CP</v>
          </cell>
          <cell r="C9">
            <v>2</v>
          </cell>
          <cell r="D9" t="str">
            <v>Administração local de pessoal técnico e administrativo</v>
          </cell>
          <cell r="E9" t="str">
            <v>%</v>
          </cell>
          <cell r="F9">
            <v>9024.61</v>
          </cell>
        </row>
        <row r="10">
          <cell r="A10" t="str">
            <v>CP-3</v>
          </cell>
          <cell r="B10" t="str">
            <v>CP</v>
          </cell>
          <cell r="C10">
            <v>3</v>
          </cell>
          <cell r="D10" t="str">
            <v>Fornecimento e colocação de piso tátil-concreto pré-moldado - e= 2,5 cm(alerta)</v>
          </cell>
          <cell r="E10" t="str">
            <v>m²</v>
          </cell>
          <cell r="F10">
            <v>157.26</v>
          </cell>
        </row>
        <row r="11">
          <cell r="A11" t="str">
            <v>SINAPI-I-34723</v>
          </cell>
          <cell r="B11" t="str">
            <v>SINAPI-I</v>
          </cell>
          <cell r="C11">
            <v>34723</v>
          </cell>
          <cell r="D11" t="str">
            <v>Confecção de placa semi-refletiva</v>
          </cell>
          <cell r="E11" t="str">
            <v>m²</v>
          </cell>
          <cell r="F11">
            <v>577.5</v>
          </cell>
        </row>
        <row r="12">
          <cell r="A12" t="str">
            <v>SINAPI-I-21013</v>
          </cell>
          <cell r="B12" t="str">
            <v>SINAPI-I</v>
          </cell>
          <cell r="C12">
            <v>21013</v>
          </cell>
          <cell r="D12" t="str">
            <v>Suporte metálico D=2'' parede 3mm  galvanizado a fogo</v>
          </cell>
          <cell r="E12" t="str">
            <v>m</v>
          </cell>
          <cell r="F12">
            <v>65.62</v>
          </cell>
        </row>
        <row r="13">
          <cell r="A13" t="str">
            <v>SINAPI-C-67826</v>
          </cell>
          <cell r="B13" t="str">
            <v>SINAPI-C</v>
          </cell>
          <cell r="C13">
            <v>67826</v>
          </cell>
          <cell r="D13" t="str">
            <v>Caminhão basculante 6 m³</v>
          </cell>
          <cell r="E13" t="str">
            <v>h</v>
          </cell>
          <cell r="F13">
            <v>187.26</v>
          </cell>
        </row>
        <row r="14">
          <cell r="A14" t="str">
            <v>SINAPI-C-5928</v>
          </cell>
          <cell r="B14" t="str">
            <v>SINAPI-C</v>
          </cell>
          <cell r="C14">
            <v>5928</v>
          </cell>
          <cell r="D14" t="str">
            <v xml:space="preserve">Transporte de equipamentos com Cavalo Mecânico e Reboque </v>
          </cell>
          <cell r="E14" t="str">
            <v>h</v>
          </cell>
          <cell r="F14">
            <v>274.67</v>
          </cell>
        </row>
        <row r="15">
          <cell r="A15" t="str">
            <v>SINAPI-C-91395</v>
          </cell>
          <cell r="B15" t="str">
            <v>SINAPI-C</v>
          </cell>
          <cell r="C15">
            <v>91395</v>
          </cell>
          <cell r="D15" t="str">
            <v>Caminhão carroceria</v>
          </cell>
          <cell r="E15" t="str">
            <v>h</v>
          </cell>
          <cell r="F15">
            <v>56.5</v>
          </cell>
        </row>
        <row r="16">
          <cell r="A16" t="str">
            <v>SINAPI-C-95875</v>
          </cell>
          <cell r="B16" t="str">
            <v>SINAPI-C</v>
          </cell>
          <cell r="C16">
            <v>95875</v>
          </cell>
          <cell r="D16" t="str">
            <v>Transporte de material, com caminhão basculante. Até 30 km</v>
          </cell>
          <cell r="E16" t="str">
            <v>m³xkm</v>
          </cell>
          <cell r="F16">
            <v>2.4900000000000002</v>
          </cell>
        </row>
        <row r="17">
          <cell r="A17" t="str">
            <v>SINAPI-C-100577</v>
          </cell>
          <cell r="B17" t="str">
            <v>SINAPI-C</v>
          </cell>
          <cell r="C17">
            <v>100577</v>
          </cell>
          <cell r="D17" t="str">
            <v>Regularização e compactação de subleito, até 20 cm de espessura - Mecanizada</v>
          </cell>
          <cell r="E17" t="str">
            <v>m²</v>
          </cell>
          <cell r="F17">
            <v>1.29</v>
          </cell>
        </row>
        <row r="18">
          <cell r="A18" t="str">
            <v>SINAPI-C-88316</v>
          </cell>
          <cell r="B18" t="str">
            <v>SINAPI-C</v>
          </cell>
          <cell r="C18">
            <v>88316</v>
          </cell>
          <cell r="D18" t="str">
            <v>Servente com encargos complementares</v>
          </cell>
          <cell r="E18" t="str">
            <v>h</v>
          </cell>
          <cell r="F18">
            <v>22.4</v>
          </cell>
        </row>
        <row r="19">
          <cell r="A19" t="str">
            <v>SINAPI-C-90778</v>
          </cell>
          <cell r="B19" t="str">
            <v>SINAPI-C</v>
          </cell>
          <cell r="C19">
            <v>90778</v>
          </cell>
          <cell r="D19" t="str">
            <v>Engenheiro Civil de obra, pleno, com encargos complementares</v>
          </cell>
          <cell r="E19" t="str">
            <v>h</v>
          </cell>
          <cell r="F19">
            <v>118.49</v>
          </cell>
        </row>
        <row r="20">
          <cell r="A20" t="str">
            <v>SINAPI-C-90780</v>
          </cell>
          <cell r="B20" t="str">
            <v>SINAPI-C</v>
          </cell>
          <cell r="C20">
            <v>90780</v>
          </cell>
          <cell r="D20" t="str">
            <v>Mestre de obras com encargos complementares</v>
          </cell>
          <cell r="E20" t="str">
            <v>h</v>
          </cell>
          <cell r="F20">
            <v>99.09</v>
          </cell>
        </row>
        <row r="21">
          <cell r="A21" t="str">
            <v>SINAPI-C-92402</v>
          </cell>
          <cell r="B21" t="str">
            <v>SINAPI-C</v>
          </cell>
          <cell r="C21">
            <v>92402</v>
          </cell>
          <cell r="D21" t="str">
            <v>Bloco de concreto pré-moldado, 35 Mpa, e=6cm c/base e rejunte com pó de pedra - adensado</v>
          </cell>
          <cell r="E21" t="str">
            <v>m²</v>
          </cell>
          <cell r="F21">
            <v>71.64</v>
          </cell>
        </row>
        <row r="22">
          <cell r="A22" t="str">
            <v>SINAPI-C-92404</v>
          </cell>
          <cell r="B22" t="str">
            <v>SINAPI-C</v>
          </cell>
          <cell r="C22">
            <v>92404</v>
          </cell>
          <cell r="D22" t="str">
            <v>Execução de via - Bloco de concreto pré-moldado, 35 Mpa, e=8cm c/base e rejunte com pó de pedra - adensado</v>
          </cell>
          <cell r="E22" t="str">
            <v>m²</v>
          </cell>
          <cell r="F22">
            <v>77.44</v>
          </cell>
        </row>
        <row r="23">
          <cell r="A23" t="str">
            <v>SINAPI-C-93358</v>
          </cell>
          <cell r="B23" t="str">
            <v>SINAPI-C</v>
          </cell>
          <cell r="C23">
            <v>93358</v>
          </cell>
          <cell r="D23" t="str">
            <v>Escavação manual de valas - material de 1ª categoria</v>
          </cell>
          <cell r="E23" t="str">
            <v>m³</v>
          </cell>
          <cell r="F23">
            <v>88.61</v>
          </cell>
        </row>
        <row r="24">
          <cell r="A24" t="str">
            <v>SINAPI-C-94273</v>
          </cell>
          <cell r="B24" t="str">
            <v>SINAPI-C</v>
          </cell>
          <cell r="C24">
            <v>94273</v>
          </cell>
          <cell r="D24" t="str">
            <v>Execução de meio-fio pré-moldado (1,00x0,30x0,13x0,15), inclus. carga, transporte</v>
          </cell>
          <cell r="E24" t="str">
            <v>m</v>
          </cell>
          <cell r="F24">
            <v>56.07</v>
          </cell>
        </row>
        <row r="25">
          <cell r="A25" t="str">
            <v>SINAPI-C-94275</v>
          </cell>
          <cell r="B25" t="str">
            <v>SINAPI-C</v>
          </cell>
          <cell r="C25">
            <v>94275</v>
          </cell>
          <cell r="D25" t="str">
            <v>Execução de meio-fio pré-moldado (1,00x0,20x0,13x0,15), inclus. carga, transporte</v>
          </cell>
          <cell r="E25" t="str">
            <v>m</v>
          </cell>
          <cell r="F25">
            <v>50.43</v>
          </cell>
        </row>
        <row r="26">
          <cell r="A26" t="str">
            <v>SINAPI-C-88256</v>
          </cell>
          <cell r="B26" t="str">
            <v>SINAPI-C</v>
          </cell>
          <cell r="C26">
            <v>88256</v>
          </cell>
          <cell r="D26" t="str">
            <v>Ladrilhista com encargos complementares</v>
          </cell>
          <cell r="E26" t="str">
            <v>h</v>
          </cell>
          <cell r="F26">
            <v>26.91</v>
          </cell>
        </row>
        <row r="27">
          <cell r="A27" t="str">
            <v>SINAPI-I-34357</v>
          </cell>
          <cell r="B27" t="str">
            <v>SINAPI-I</v>
          </cell>
          <cell r="C27">
            <v>34357</v>
          </cell>
          <cell r="D27" t="str">
            <v>Rejunte cimentício</v>
          </cell>
          <cell r="E27" t="str">
            <v>kg</v>
          </cell>
          <cell r="F27">
            <v>4.6900000000000004</v>
          </cell>
        </row>
        <row r="28">
          <cell r="A28" t="str">
            <v>SINAPI-I-38135</v>
          </cell>
          <cell r="B28" t="str">
            <v>SINAPI-I</v>
          </cell>
          <cell r="C28">
            <v>38135</v>
          </cell>
          <cell r="D28" t="str">
            <v>Piso tátil, direcional e alerta - concreto 20x20x2,5 cm</v>
          </cell>
          <cell r="E28" t="str">
            <v>m²</v>
          </cell>
          <cell r="F28">
            <v>116.61</v>
          </cell>
        </row>
        <row r="29">
          <cell r="A29" t="str">
            <v>SINAPI-I-34353</v>
          </cell>
          <cell r="B29" t="str">
            <v>SINAPI-I</v>
          </cell>
          <cell r="C29">
            <v>34353</v>
          </cell>
          <cell r="D29" t="str">
            <v>Argamassa colante AC-2</v>
          </cell>
          <cell r="E29" t="str">
            <v>kg</v>
          </cell>
          <cell r="F29">
            <v>1.49</v>
          </cell>
        </row>
        <row r="30">
          <cell r="A30" t="str">
            <v>SINAPI-C-88262</v>
          </cell>
          <cell r="B30" t="str">
            <v>SINAPI-C</v>
          </cell>
          <cell r="C30">
            <v>88262</v>
          </cell>
          <cell r="D30" t="str">
            <v>Carpinteiro com encargos complentares</v>
          </cell>
          <cell r="E30" t="str">
            <v>h</v>
          </cell>
          <cell r="F30">
            <v>26.69</v>
          </cell>
        </row>
        <row r="31">
          <cell r="A31" t="str">
            <v>SINAPI-I-4417</v>
          </cell>
          <cell r="B31" t="str">
            <v>SINAPI-I</v>
          </cell>
          <cell r="C31">
            <v>4417</v>
          </cell>
          <cell r="D31" t="str">
            <v xml:space="preserve">Sarrafo não aparelhado 2,5 x 7,00 cm </v>
          </cell>
          <cell r="E31" t="str">
            <v>m</v>
          </cell>
          <cell r="F31">
            <v>4.32</v>
          </cell>
        </row>
        <row r="32">
          <cell r="A32" t="str">
            <v>SINAPI-I-4491</v>
          </cell>
          <cell r="B32" t="str">
            <v>SINAPI-I</v>
          </cell>
          <cell r="C32">
            <v>4491</v>
          </cell>
          <cell r="D32" t="str">
            <v>Pontalete não aparelhada 7,5 x 7,50 cm</v>
          </cell>
          <cell r="E32" t="str">
            <v>m</v>
          </cell>
          <cell r="F32">
            <v>6.93</v>
          </cell>
        </row>
        <row r="33">
          <cell r="A33" t="str">
            <v>SINAPI-I-5075</v>
          </cell>
          <cell r="B33" t="str">
            <v>SINAPI-I</v>
          </cell>
          <cell r="C33">
            <v>5075</v>
          </cell>
          <cell r="D33" t="str">
            <v>Prego aço c/cabeça 18x30</v>
          </cell>
          <cell r="E33" t="str">
            <v>kg</v>
          </cell>
          <cell r="F33">
            <v>13.53</v>
          </cell>
        </row>
        <row r="34">
          <cell r="A34" t="str">
            <v>SINAPI-C-94962</v>
          </cell>
          <cell r="B34" t="str">
            <v>SINAPI-C</v>
          </cell>
          <cell r="C34">
            <v>94962</v>
          </cell>
          <cell r="D34" t="str">
            <v>Concreto magro</v>
          </cell>
          <cell r="E34" t="str">
            <v>m³</v>
          </cell>
          <cell r="F34">
            <v>389.41</v>
          </cell>
        </row>
        <row r="35">
          <cell r="A35" t="str">
            <v>SINAPI-C-103689</v>
          </cell>
          <cell r="B35" t="str">
            <v>SINAPI-C</v>
          </cell>
          <cell r="C35">
            <v>103689</v>
          </cell>
          <cell r="D35" t="str">
            <v>Placa da obra em chapa de aço galvanizado</v>
          </cell>
          <cell r="E35" t="str">
            <v>m²</v>
          </cell>
          <cell r="F35">
            <v>309.27999999999997</v>
          </cell>
        </row>
        <row r="36">
          <cell r="A36" t="str">
            <v>SINAPI-I-10777</v>
          </cell>
          <cell r="B36" t="str">
            <v>SINAPI-I</v>
          </cell>
          <cell r="C36">
            <v>10777</v>
          </cell>
          <cell r="D36" t="str">
            <v>Locação de container c/banheiro</v>
          </cell>
          <cell r="E36" t="str">
            <v>mês</v>
          </cell>
          <cell r="F36">
            <v>1021.87</v>
          </cell>
        </row>
        <row r="37">
          <cell r="A37" t="str">
            <v>SINAPI-C-99064</v>
          </cell>
          <cell r="B37" t="str">
            <v>SINAPI-C</v>
          </cell>
          <cell r="C37">
            <v>99064</v>
          </cell>
          <cell r="D37" t="str">
            <v>Locação topográfica para pavimentação(pista e passeio)</v>
          </cell>
          <cell r="E37" t="str">
            <v>m</v>
          </cell>
          <cell r="F37">
            <v>0.56000000000000005</v>
          </cell>
        </row>
        <row r="38">
          <cell r="A38" t="str">
            <v>SINAPI-I-13521</v>
          </cell>
          <cell r="B38" t="str">
            <v>SINAPI-I</v>
          </cell>
          <cell r="C38">
            <v>13521</v>
          </cell>
          <cell r="D38" t="str">
            <v>Placa aço esmaltado - identificação de rua - 45 x 20 cm</v>
          </cell>
          <cell r="E38" t="str">
            <v>unid</v>
          </cell>
          <cell r="F38">
            <v>82.5</v>
          </cell>
        </row>
        <row r="39">
          <cell r="A39" t="str">
            <v>SINAPI-I-390</v>
          </cell>
          <cell r="B39" t="str">
            <v>SINAPI-I</v>
          </cell>
          <cell r="C39">
            <v>390</v>
          </cell>
          <cell r="D39" t="str">
            <v>Suporte de aço galvanizado para haste de 2"</v>
          </cell>
          <cell r="E39" t="str">
            <v>unid</v>
          </cell>
          <cell r="F39">
            <v>9.7100000000000009</v>
          </cell>
        </row>
        <row r="40">
          <cell r="A40" t="str">
            <v>SINAPI-C-97935</v>
          </cell>
          <cell r="B40" t="str">
            <v>SINAPI-C</v>
          </cell>
          <cell r="C40">
            <v>97935</v>
          </cell>
          <cell r="D40" t="str">
            <v>Caixa de boca de lobo 60x120 (internamente) pre mold ou alvenaria , com tampa de concreto armado</v>
          </cell>
          <cell r="E40" t="str">
            <v>unid</v>
          </cell>
          <cell r="F40">
            <v>853.05</v>
          </cell>
        </row>
        <row r="41">
          <cell r="A41" t="str">
            <v>SINAPI-C-96396</v>
          </cell>
          <cell r="B41" t="str">
            <v>SINAPI-C</v>
          </cell>
          <cell r="C41">
            <v>96396</v>
          </cell>
          <cell r="D41" t="str">
            <v>Execução de base de brita graduada c/fornecimento de material s/transporte</v>
          </cell>
          <cell r="E41" t="str">
            <v>m³</v>
          </cell>
          <cell r="F41">
            <v>131.22</v>
          </cell>
        </row>
        <row r="42">
          <cell r="A42" t="str">
            <v>SINAPI-C-97935</v>
          </cell>
          <cell r="B42" t="str">
            <v>SINAPI-C</v>
          </cell>
          <cell r="C42">
            <v>97935</v>
          </cell>
          <cell r="D42" t="str">
            <v>Caixa de boca de lobo c/tampa concreto armado e=6 cm</v>
          </cell>
          <cell r="E42" t="str">
            <v>unid</v>
          </cell>
          <cell r="F42">
            <v>853.05</v>
          </cell>
        </row>
        <row r="43">
          <cell r="A43" t="str">
            <v>SINAPI-C-93382</v>
          </cell>
          <cell r="B43" t="str">
            <v>SINAPI-C</v>
          </cell>
          <cell r="C43">
            <v>93382</v>
          </cell>
          <cell r="D43" t="str">
            <v>Reaterro com material da escavação</v>
          </cell>
          <cell r="E43" t="str">
            <v>m³</v>
          </cell>
          <cell r="F43">
            <v>28.48</v>
          </cell>
        </row>
        <row r="44">
          <cell r="A44" t="str">
            <v>SINAPI-I-10775</v>
          </cell>
          <cell r="B44" t="str">
            <v>SINAPI-I</v>
          </cell>
          <cell r="C44">
            <v>10775</v>
          </cell>
          <cell r="D44" t="str">
            <v>Locação de container 2,30 X 6,00m, alt. 2,50m, com 1 sanitário, para escritório, completo, sem divisórias internas</v>
          </cell>
          <cell r="E44" t="str">
            <v>mês</v>
          </cell>
          <cell r="F44">
            <v>900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c"/>
      <sheetName val="CP 1"/>
      <sheetName val="CP 2"/>
      <sheetName val="CP 3"/>
      <sheetName val="CP 4"/>
      <sheetName val="CP 5"/>
      <sheetName val="CP 6"/>
      <sheetName val="CP 7"/>
      <sheetName val="CP 8"/>
      <sheetName val="CP 9   "/>
      <sheetName val="CP 10"/>
      <sheetName val="CP 11"/>
      <sheetName val="CP 12"/>
      <sheetName val="CP 13"/>
      <sheetName val="CUSTO LAJE GRES- MERCADO"/>
      <sheetName val="Cron"/>
      <sheetName val="M_Glob"/>
      <sheetName val="M_DMT 1"/>
      <sheetName val="DMT 2"/>
      <sheetName val="BDI_Declaracao"/>
      <sheetName val="BDI_Preencher"/>
      <sheetName val="R_Preç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8">
          <cell r="A8" t="str">
            <v>CP-1</v>
          </cell>
          <cell r="B8" t="str">
            <v>CP</v>
          </cell>
          <cell r="C8">
            <v>1</v>
          </cell>
          <cell r="D8" t="str">
            <v>Mobilização e Desmobilização de Equipamentos de Grande e Médio Porte</v>
          </cell>
          <cell r="E8" t="str">
            <v>%</v>
          </cell>
          <cell r="F8">
            <v>1075.2</v>
          </cell>
        </row>
        <row r="9">
          <cell r="A9" t="str">
            <v>CP-2</v>
          </cell>
          <cell r="B9" t="str">
            <v>CP</v>
          </cell>
          <cell r="C9">
            <v>2</v>
          </cell>
          <cell r="D9" t="str">
            <v>Administração local de pessoal técnico e administrativo</v>
          </cell>
          <cell r="E9" t="str">
            <v>%</v>
          </cell>
          <cell r="F9">
            <v>2970.27</v>
          </cell>
        </row>
        <row r="10">
          <cell r="A10" t="str">
            <v>CP-3</v>
          </cell>
          <cell r="B10" t="str">
            <v>CP</v>
          </cell>
          <cell r="C10">
            <v>3</v>
          </cell>
          <cell r="D10" t="str">
            <v>Execução de Sinalização Horizontal Termoplástica "Hot Spray" e=3,00 mm</v>
          </cell>
          <cell r="E10" t="str">
            <v>m²</v>
          </cell>
          <cell r="F10">
            <v>79.81</v>
          </cell>
        </row>
        <row r="11">
          <cell r="A11" t="str">
            <v>CP-4</v>
          </cell>
          <cell r="B11" t="str">
            <v>CP</v>
          </cell>
          <cell r="C11">
            <v>4</v>
          </cell>
          <cell r="D11" t="str">
            <v>Fornecimento e colocação de piso tátil-concreto pré-moldado - e= 2,5 cm(direc/alerta)</v>
          </cell>
          <cell r="E11" t="str">
            <v>m²</v>
          </cell>
          <cell r="F11">
            <v>71.72</v>
          </cell>
        </row>
        <row r="12">
          <cell r="A12" t="str">
            <v>CP -8</v>
          </cell>
          <cell r="B12" t="str">
            <v xml:space="preserve">CP </v>
          </cell>
          <cell r="C12">
            <v>8</v>
          </cell>
          <cell r="D12" t="str">
            <v xml:space="preserve"> Ensaio Marshall</v>
          </cell>
          <cell r="E12" t="str">
            <v>unid</v>
          </cell>
          <cell r="F12">
            <v>315.56</v>
          </cell>
        </row>
        <row r="13">
          <cell r="A13" t="str">
            <v>CP -9</v>
          </cell>
          <cell r="B13" t="str">
            <v xml:space="preserve">CP </v>
          </cell>
          <cell r="C13">
            <v>9</v>
          </cell>
          <cell r="D13" t="str">
            <v>Ensaio grau de compactação -CBUQ na pista</v>
          </cell>
          <cell r="E13" t="str">
            <v>unid</v>
          </cell>
          <cell r="F13">
            <v>81.150000000000006</v>
          </cell>
        </row>
        <row r="14">
          <cell r="A14" t="str">
            <v>CP -10</v>
          </cell>
          <cell r="B14" t="str">
            <v xml:space="preserve">CP </v>
          </cell>
          <cell r="C14">
            <v>10</v>
          </cell>
          <cell r="D14" t="str">
            <v>Ensaio teor de betume - CBUQ</v>
          </cell>
          <cell r="E14" t="str">
            <v>unid</v>
          </cell>
          <cell r="F14">
            <v>135.24</v>
          </cell>
        </row>
        <row r="15">
          <cell r="A15" t="str">
            <v>CP -11</v>
          </cell>
          <cell r="B15" t="str">
            <v xml:space="preserve">CP </v>
          </cell>
          <cell r="C15">
            <v>11</v>
          </cell>
          <cell r="D15" t="str">
            <v>Ensaio ISC - base de brita graduada</v>
          </cell>
          <cell r="E15" t="str">
            <v>unid</v>
          </cell>
          <cell r="F15">
            <v>171.31</v>
          </cell>
        </row>
        <row r="16">
          <cell r="A16" t="str">
            <v>CP -12</v>
          </cell>
          <cell r="B16" t="str">
            <v xml:space="preserve">CP </v>
          </cell>
          <cell r="C16">
            <v>12</v>
          </cell>
          <cell r="D16" t="str">
            <v>Grau de compactação - base (método areia)</v>
          </cell>
          <cell r="E16" t="str">
            <v>unid</v>
          </cell>
          <cell r="F16">
            <v>63.12</v>
          </cell>
        </row>
        <row r="17">
          <cell r="A17" t="str">
            <v>CP -13</v>
          </cell>
          <cell r="B17" t="str">
            <v xml:space="preserve">CP </v>
          </cell>
          <cell r="C17">
            <v>13</v>
          </cell>
          <cell r="D17" t="str">
            <v>Ensaio de verificação taxa aplicação do betume</v>
          </cell>
          <cell r="E17" t="str">
            <v>unid</v>
          </cell>
          <cell r="F17">
            <v>63.12</v>
          </cell>
        </row>
        <row r="18">
          <cell r="A18">
            <v>0</v>
          </cell>
          <cell r="B18">
            <v>0</v>
          </cell>
          <cell r="C18">
            <v>0</v>
          </cell>
          <cell r="D18">
            <v>0</v>
          </cell>
          <cell r="E18">
            <v>0</v>
          </cell>
          <cell r="F18">
            <v>0</v>
          </cell>
        </row>
        <row r="19">
          <cell r="A19" t="str">
            <v>DAER-7278</v>
          </cell>
          <cell r="B19" t="str">
            <v>DAER</v>
          </cell>
          <cell r="C19">
            <v>7278</v>
          </cell>
          <cell r="D19" t="str">
            <v>Execução de Sinalização Horizontal Termoplástica "Hot Spray" e=1,50 mm</v>
          </cell>
          <cell r="E19" t="str">
            <v>m²</v>
          </cell>
          <cell r="F19">
            <v>46.1</v>
          </cell>
        </row>
        <row r="20">
          <cell r="A20">
            <v>0</v>
          </cell>
          <cell r="B20">
            <v>0</v>
          </cell>
          <cell r="C20">
            <v>0</v>
          </cell>
          <cell r="D20">
            <v>0</v>
          </cell>
          <cell r="E20">
            <v>0</v>
          </cell>
          <cell r="F20">
            <v>0</v>
          </cell>
        </row>
        <row r="21">
          <cell r="A21" t="str">
            <v>DAER-7286</v>
          </cell>
          <cell r="B21" t="str">
            <v>DAER</v>
          </cell>
          <cell r="C21">
            <v>7286</v>
          </cell>
          <cell r="D21" t="str">
            <v>Confecção de placa semi-refletiva</v>
          </cell>
          <cell r="E21" t="str">
            <v>m²</v>
          </cell>
          <cell r="F21">
            <v>621.29</v>
          </cell>
        </row>
        <row r="22">
          <cell r="A22" t="str">
            <v>DAER-7321</v>
          </cell>
          <cell r="B22" t="str">
            <v>DAER</v>
          </cell>
          <cell r="C22">
            <v>7321</v>
          </cell>
          <cell r="D22" t="str">
            <v>Suporte metálico D=2'' parede 2mm 3,5m galvanizado a fogo</v>
          </cell>
          <cell r="E22" t="str">
            <v>unid</v>
          </cell>
          <cell r="F22">
            <v>332.25</v>
          </cell>
        </row>
        <row r="23">
          <cell r="A23" t="str">
            <v>DAER-M0528</v>
          </cell>
          <cell r="B23" t="str">
            <v>DAER</v>
          </cell>
          <cell r="C23" t="str">
            <v>M0528</v>
          </cell>
          <cell r="D23" t="str">
            <v>Material para pintura termoplástica horizontal Hot Spray e=1,50 mm</v>
          </cell>
          <cell r="E23" t="str">
            <v>m²</v>
          </cell>
          <cell r="F23">
            <v>33.71</v>
          </cell>
        </row>
        <row r="24">
          <cell r="A24" t="str">
            <v>SICRO-E9579</v>
          </cell>
          <cell r="B24" t="str">
            <v>SICRO</v>
          </cell>
          <cell r="C24" t="str">
            <v>E9579</v>
          </cell>
          <cell r="D24" t="str">
            <v>Caminhão basculante 10 m³</v>
          </cell>
          <cell r="E24" t="str">
            <v>h</v>
          </cell>
          <cell r="F24">
            <v>159.47</v>
          </cell>
        </row>
        <row r="25">
          <cell r="A25" t="str">
            <v>SICRO-E9506</v>
          </cell>
          <cell r="B25" t="str">
            <v>SICRO</v>
          </cell>
          <cell r="C25" t="str">
            <v>E9506</v>
          </cell>
          <cell r="D25" t="str">
            <v>Caminhão basculante 6 m³</v>
          </cell>
          <cell r="E25" t="str">
            <v>h</v>
          </cell>
          <cell r="F25">
            <v>111.39</v>
          </cell>
        </row>
        <row r="26">
          <cell r="A26" t="str">
            <v>SICRO-E9665</v>
          </cell>
          <cell r="B26" t="str">
            <v>SICRO</v>
          </cell>
          <cell r="C26" t="str">
            <v>E9665</v>
          </cell>
          <cell r="D26" t="str">
            <v xml:space="preserve">Transporte de equipamentos com Cavalo Mecânico e Reboque </v>
          </cell>
          <cell r="E26" t="str">
            <v>h</v>
          </cell>
          <cell r="F26">
            <v>210.77</v>
          </cell>
        </row>
        <row r="27">
          <cell r="A27" t="str">
            <v>SICRO-E9687</v>
          </cell>
          <cell r="B27" t="str">
            <v>SICRO</v>
          </cell>
          <cell r="C27" t="str">
            <v>E9687</v>
          </cell>
          <cell r="D27" t="str">
            <v>Caminhão carroceria</v>
          </cell>
          <cell r="E27" t="str">
            <v>h</v>
          </cell>
          <cell r="F27">
            <v>87.44</v>
          </cell>
        </row>
        <row r="28">
          <cell r="A28">
            <v>0</v>
          </cell>
          <cell r="B28">
            <v>0</v>
          </cell>
          <cell r="C28">
            <v>0</v>
          </cell>
          <cell r="D28">
            <v>0</v>
          </cell>
          <cell r="E28">
            <v>0</v>
          </cell>
          <cell r="F28">
            <v>0</v>
          </cell>
        </row>
        <row r="29">
          <cell r="A29" t="str">
            <v>SINAPI-C-95875</v>
          </cell>
          <cell r="B29" t="str">
            <v>SINAPI-C</v>
          </cell>
          <cell r="C29">
            <v>95875</v>
          </cell>
          <cell r="D29" t="str">
            <v>Transporte de material, com caminhão basculante. Até 30 km</v>
          </cell>
          <cell r="E29" t="str">
            <v>m³xkm</v>
          </cell>
          <cell r="F29">
            <v>1</v>
          </cell>
        </row>
        <row r="30">
          <cell r="A30" t="str">
            <v>SINAPI-C-100577</v>
          </cell>
          <cell r="B30" t="str">
            <v>SINAPI-C</v>
          </cell>
          <cell r="C30">
            <v>100577</v>
          </cell>
          <cell r="D30" t="str">
            <v>Regularização e compactação de subleito, até 20 cm de espessura - Mecanizada</v>
          </cell>
          <cell r="E30" t="str">
            <v>m²</v>
          </cell>
          <cell r="F30">
            <v>0.68</v>
          </cell>
        </row>
        <row r="31">
          <cell r="A31" t="str">
            <v>SINAPI-C-99064</v>
          </cell>
          <cell r="B31" t="str">
            <v>SINAPI-C</v>
          </cell>
          <cell r="C31">
            <v>99064</v>
          </cell>
          <cell r="D31" t="str">
            <v>Locação de pavimentação ( pista e passeios)</v>
          </cell>
          <cell r="E31" t="str">
            <v>m</v>
          </cell>
          <cell r="F31">
            <v>0.56999999999999995</v>
          </cell>
        </row>
        <row r="32">
          <cell r="A32" t="str">
            <v>SINAPI-C-72895</v>
          </cell>
          <cell r="B32" t="str">
            <v>SINAPI-C</v>
          </cell>
          <cell r="C32">
            <v>72895</v>
          </cell>
          <cell r="D32" t="str">
            <v>Carga, manobra e descarga c/caminhão basc. 6 m³</v>
          </cell>
          <cell r="E32" t="str">
            <v>m³</v>
          </cell>
          <cell r="F32">
            <v>15.36</v>
          </cell>
        </row>
        <row r="33">
          <cell r="A33" t="str">
            <v>SINAPI-C-88316</v>
          </cell>
          <cell r="B33" t="str">
            <v>SINAPI-C</v>
          </cell>
          <cell r="C33">
            <v>88316</v>
          </cell>
          <cell r="D33" t="str">
            <v>Servente com encargos complementares</v>
          </cell>
          <cell r="E33" t="str">
            <v>h</v>
          </cell>
          <cell r="F33">
            <v>16.504999999999999</v>
          </cell>
        </row>
        <row r="34">
          <cell r="A34">
            <v>0</v>
          </cell>
          <cell r="B34">
            <v>0</v>
          </cell>
          <cell r="C34">
            <v>0</v>
          </cell>
          <cell r="D34">
            <v>0</v>
          </cell>
          <cell r="E34">
            <v>0</v>
          </cell>
          <cell r="F34">
            <v>0</v>
          </cell>
        </row>
        <row r="35">
          <cell r="A35" t="str">
            <v>SINAPI-C-90778</v>
          </cell>
          <cell r="B35" t="str">
            <v>SINAPI-C</v>
          </cell>
          <cell r="C35">
            <v>90778</v>
          </cell>
          <cell r="D35" t="str">
            <v>Engenheiro Civil de obra, pleno, com encargos complementares</v>
          </cell>
          <cell r="E35" t="str">
            <v>h</v>
          </cell>
          <cell r="F35">
            <v>102.18</v>
          </cell>
        </row>
        <row r="36">
          <cell r="A36" t="str">
            <v>SINAPI-C-90780</v>
          </cell>
          <cell r="B36" t="str">
            <v>SINAPI-C</v>
          </cell>
          <cell r="C36">
            <v>90780</v>
          </cell>
          <cell r="D36" t="str">
            <v>Mestre de obras com encargos complementares</v>
          </cell>
          <cell r="E36" t="str">
            <v>h</v>
          </cell>
          <cell r="F36">
            <v>61.42</v>
          </cell>
        </row>
        <row r="37">
          <cell r="A37">
            <v>0</v>
          </cell>
          <cell r="B37">
            <v>0</v>
          </cell>
          <cell r="C37">
            <v>0</v>
          </cell>
          <cell r="D37">
            <v>0</v>
          </cell>
          <cell r="E37">
            <v>0</v>
          </cell>
          <cell r="F37">
            <v>0</v>
          </cell>
        </row>
        <row r="38">
          <cell r="A38">
            <v>0</v>
          </cell>
          <cell r="B38">
            <v>0</v>
          </cell>
          <cell r="C38">
            <v>0</v>
          </cell>
          <cell r="D38">
            <v>0</v>
          </cell>
          <cell r="E38">
            <v>0</v>
          </cell>
          <cell r="F38">
            <v>0</v>
          </cell>
        </row>
        <row r="39">
          <cell r="A39" t="str">
            <v>SINAPI-C-93358</v>
          </cell>
          <cell r="B39" t="str">
            <v>SINAPI-C</v>
          </cell>
          <cell r="C39">
            <v>93358</v>
          </cell>
          <cell r="D39" t="str">
            <v>Escavação manual de valas - material de 1ª categoria</v>
          </cell>
          <cell r="E39" t="str">
            <v>m³</v>
          </cell>
          <cell r="F39">
            <v>65.31</v>
          </cell>
        </row>
        <row r="40">
          <cell r="A40">
            <v>0</v>
          </cell>
          <cell r="B40">
            <v>0</v>
          </cell>
          <cell r="C40">
            <v>0</v>
          </cell>
          <cell r="D40">
            <v>0</v>
          </cell>
          <cell r="E40">
            <v>0</v>
          </cell>
          <cell r="F40">
            <v>0</v>
          </cell>
        </row>
        <row r="41">
          <cell r="A41" t="str">
            <v>SINAPI-C-94273</v>
          </cell>
          <cell r="B41" t="str">
            <v>SINAPI-C</v>
          </cell>
          <cell r="C41">
            <v>94273</v>
          </cell>
          <cell r="D41" t="str">
            <v>Execução de meio-fio pré-moldado (1,00x0,30x0,13x0,15), inclus. carga, transporte</v>
          </cell>
          <cell r="E41" t="str">
            <v>m</v>
          </cell>
          <cell r="F41">
            <v>38.840000000000003</v>
          </cell>
        </row>
        <row r="42">
          <cell r="A42">
            <v>0</v>
          </cell>
          <cell r="B42">
            <v>0</v>
          </cell>
          <cell r="C42">
            <v>0</v>
          </cell>
          <cell r="D42">
            <v>0</v>
          </cell>
          <cell r="E42">
            <v>0</v>
          </cell>
          <cell r="F42">
            <v>0</v>
          </cell>
        </row>
        <row r="43">
          <cell r="A43" t="str">
            <v>SINAPI-C-94963</v>
          </cell>
          <cell r="B43" t="str">
            <v>SINAPI-C</v>
          </cell>
          <cell r="C43">
            <v>94963</v>
          </cell>
          <cell r="D43" t="str">
            <v>Concreto magro, preparo mecânico</v>
          </cell>
          <cell r="E43" t="str">
            <v>m³</v>
          </cell>
          <cell r="F43">
            <v>293.95</v>
          </cell>
        </row>
        <row r="44">
          <cell r="A44" t="str">
            <v>SINAPI-C-96396</v>
          </cell>
          <cell r="B44" t="str">
            <v>SINAPI-C</v>
          </cell>
          <cell r="C44">
            <v>96396</v>
          </cell>
          <cell r="D44" t="str">
            <v>Execução de base de brita graduada simples, conforme estrutura do pavimento - Exclui: carga, transporte e descarga</v>
          </cell>
          <cell r="E44" t="str">
            <v>m³</v>
          </cell>
          <cell r="F44">
            <v>86.81</v>
          </cell>
        </row>
        <row r="45">
          <cell r="A45" t="str">
            <v>CP -6</v>
          </cell>
          <cell r="B45" t="str">
            <v xml:space="preserve">CP </v>
          </cell>
          <cell r="C45">
            <v>6</v>
          </cell>
          <cell r="D45" t="str">
            <v xml:space="preserve">Mão francesa para fixação de placa </v>
          </cell>
          <cell r="E45" t="str">
            <v>unid</v>
          </cell>
          <cell r="F45">
            <v>24.07</v>
          </cell>
        </row>
        <row r="46">
          <cell r="A46">
            <v>0</v>
          </cell>
          <cell r="B46">
            <v>0</v>
          </cell>
          <cell r="C46">
            <v>0</v>
          </cell>
          <cell r="D46">
            <v>0</v>
          </cell>
          <cell r="E46">
            <v>0</v>
          </cell>
          <cell r="F46">
            <v>0</v>
          </cell>
        </row>
        <row r="47">
          <cell r="A47">
            <v>0</v>
          </cell>
          <cell r="B47">
            <v>0</v>
          </cell>
          <cell r="C47">
            <v>0</v>
          </cell>
          <cell r="D47">
            <v>0</v>
          </cell>
          <cell r="E47">
            <v>0</v>
          </cell>
          <cell r="F47">
            <v>0</v>
          </cell>
        </row>
        <row r="48">
          <cell r="A48" t="str">
            <v>SINAPI-C-88256</v>
          </cell>
          <cell r="B48" t="str">
            <v>SINAPI-C</v>
          </cell>
          <cell r="C48">
            <v>88256</v>
          </cell>
          <cell r="D48" t="str">
            <v>Ladrilhista com encargos complementares</v>
          </cell>
          <cell r="E48" t="str">
            <v>h</v>
          </cell>
          <cell r="F48">
            <v>19.920000000000002</v>
          </cell>
        </row>
        <row r="49">
          <cell r="A49" t="str">
            <v>SINAPI-I-34357</v>
          </cell>
          <cell r="B49" t="str">
            <v>SINAPI-I</v>
          </cell>
          <cell r="C49">
            <v>34357</v>
          </cell>
          <cell r="D49" t="str">
            <v>Rejunte cimentício</v>
          </cell>
          <cell r="E49" t="str">
            <v>kg</v>
          </cell>
          <cell r="F49">
            <v>2.73</v>
          </cell>
        </row>
        <row r="50">
          <cell r="A50" t="str">
            <v>SINAPI-I-36178</v>
          </cell>
          <cell r="B50" t="str">
            <v>SINAPI-I</v>
          </cell>
          <cell r="C50">
            <v>36178</v>
          </cell>
          <cell r="D50" t="str">
            <v>Piso tátil, direcional e alerta - concreto 40x40x2,5 cm</v>
          </cell>
          <cell r="E50" t="str">
            <v>unid</v>
          </cell>
          <cell r="F50">
            <v>6.62</v>
          </cell>
        </row>
        <row r="51">
          <cell r="A51" t="str">
            <v>SINAPI-I-36886</v>
          </cell>
          <cell r="B51" t="str">
            <v>SINAPI-I</v>
          </cell>
          <cell r="C51">
            <v>36886</v>
          </cell>
          <cell r="D51" t="str">
            <v>Argamassa colante AC-2</v>
          </cell>
          <cell r="E51" t="str">
            <v>kg</v>
          </cell>
          <cell r="F51">
            <v>0.46</v>
          </cell>
        </row>
        <row r="52">
          <cell r="A52" t="str">
            <v>SINAPI-C-96402</v>
          </cell>
          <cell r="B52" t="str">
            <v>SINAPI-C</v>
          </cell>
          <cell r="C52">
            <v>96402</v>
          </cell>
          <cell r="D52" t="str">
            <v>Pintura de ligação c/RR-2C , incluindo material e transporte</v>
          </cell>
          <cell r="E52" t="str">
            <v>m²</v>
          </cell>
          <cell r="F52">
            <v>1.79</v>
          </cell>
        </row>
        <row r="53">
          <cell r="A53" t="str">
            <v>SINAPI-C-96401</v>
          </cell>
          <cell r="B53" t="str">
            <v>SINAPI-C</v>
          </cell>
          <cell r="C53">
            <v>96401</v>
          </cell>
          <cell r="D53" t="str">
            <v>Execução de imprimação c/CM-30 , incluindo material e transporte</v>
          </cell>
          <cell r="E53" t="str">
            <v>m²</v>
          </cell>
          <cell r="F53">
            <v>6.27</v>
          </cell>
        </row>
        <row r="54">
          <cell r="A54" t="str">
            <v>SINAPI-C-95995</v>
          </cell>
          <cell r="B54" t="str">
            <v>SINAPI-C</v>
          </cell>
          <cell r="C54">
            <v>95995</v>
          </cell>
          <cell r="D54" t="str">
            <v>Pavimentação com CBUQ - e= 6 cm</v>
          </cell>
          <cell r="E54" t="str">
            <v>m³</v>
          </cell>
          <cell r="F54">
            <v>1100.5650000000001</v>
          </cell>
        </row>
        <row r="55">
          <cell r="A55" t="str">
            <v>SINAPI-C-95878</v>
          </cell>
          <cell r="B55" t="str">
            <v>SINAPI-C</v>
          </cell>
          <cell r="C55">
            <v>95878</v>
          </cell>
          <cell r="D55" t="str">
            <v xml:space="preserve">Transporte c/caçamba de CBUQ em via pavimentada </v>
          </cell>
          <cell r="E55" t="str">
            <v>ton/km</v>
          </cell>
          <cell r="F55">
            <v>0.65500000000000003</v>
          </cell>
        </row>
        <row r="56">
          <cell r="A56" t="str">
            <v>CORSAN-10.02.00.31</v>
          </cell>
          <cell r="B56" t="str">
            <v>CORSAN</v>
          </cell>
          <cell r="C56" t="str">
            <v>10.02.00.31</v>
          </cell>
          <cell r="D56" t="str">
            <v>Pavimentação de passeio com laje de gres - 90x45X4 cm - assente sobre areia e=5 cm</v>
          </cell>
          <cell r="E56" t="str">
            <v>m²</v>
          </cell>
          <cell r="F56">
            <v>40.380000000000003</v>
          </cell>
        </row>
        <row r="57">
          <cell r="A57" t="str">
            <v>SINAPI-I-4417</v>
          </cell>
          <cell r="B57" t="str">
            <v>SINAPI-I</v>
          </cell>
          <cell r="C57">
            <v>4417</v>
          </cell>
          <cell r="D57" t="str">
            <v>Sarrafo de madeira não aparelhada *2,5 X 7*  cm</v>
          </cell>
          <cell r="E57" t="str">
            <v>m</v>
          </cell>
          <cell r="F57">
            <v>5.24</v>
          </cell>
        </row>
        <row r="58">
          <cell r="A58" t="str">
            <v>SINAPI-I-4491</v>
          </cell>
          <cell r="B58" t="str">
            <v>SINAPI-I</v>
          </cell>
          <cell r="C58">
            <v>4491</v>
          </cell>
          <cell r="D58" t="str">
            <v xml:space="preserve">Pontalete de madeira não aparelhadas *7,5 X 7,5* CM (3 X 3 ") </v>
          </cell>
          <cell r="E58" t="str">
            <v>m</v>
          </cell>
          <cell r="F58">
            <v>3.44</v>
          </cell>
        </row>
        <row r="59">
          <cell r="A59" t="str">
            <v>SINAPI-I-4813</v>
          </cell>
          <cell r="B59" t="str">
            <v>SINAPI-I</v>
          </cell>
          <cell r="C59">
            <v>4813</v>
          </cell>
          <cell r="D59" t="str">
            <v>Placa de obra com chapa N. 22, adesivada</v>
          </cell>
          <cell r="E59" t="str">
            <v>m²</v>
          </cell>
          <cell r="F59">
            <v>300</v>
          </cell>
        </row>
        <row r="60">
          <cell r="A60" t="str">
            <v>SINAPI-I-5075</v>
          </cell>
          <cell r="B60" t="str">
            <v>SINAPI-I</v>
          </cell>
          <cell r="C60">
            <v>5075</v>
          </cell>
          <cell r="D60" t="str">
            <v>Prego e aço polido com cabeça18 X 30 (2 3/4 X 10)</v>
          </cell>
          <cell r="E60" t="str">
            <v>kg</v>
          </cell>
          <cell r="F60">
            <v>10.17</v>
          </cell>
        </row>
        <row r="61">
          <cell r="A61" t="str">
            <v>SINAPI-C-88262</v>
          </cell>
          <cell r="B61" t="str">
            <v>SINAPI-C</v>
          </cell>
          <cell r="C61" t="str">
            <v>88262</v>
          </cell>
          <cell r="D61" t="str">
            <v>Carpinteiro de formas com encargos complementares</v>
          </cell>
          <cell r="E61" t="str">
            <v>h</v>
          </cell>
          <cell r="F61">
            <v>19.84</v>
          </cell>
        </row>
        <row r="62">
          <cell r="A62" t="str">
            <v>SINAPI-C-94962</v>
          </cell>
          <cell r="B62" t="str">
            <v>SINAPI-C</v>
          </cell>
          <cell r="C62" t="str">
            <v>94962</v>
          </cell>
          <cell r="D62" t="str">
            <v>Concreto magro - preparo em betoneira 400 ml</v>
          </cell>
          <cell r="E62" t="str">
            <v>m³</v>
          </cell>
          <cell r="F62">
            <v>262.02</v>
          </cell>
        </row>
        <row r="63">
          <cell r="A63" t="str">
            <v>CP-5</v>
          </cell>
          <cell r="B63" t="str">
            <v>CP</v>
          </cell>
          <cell r="C63">
            <v>5</v>
          </cell>
          <cell r="D63" t="str">
            <v>Placa da obra em chapa de aço galvanizado, colocada</v>
          </cell>
          <cell r="E63" t="str">
            <v>m²</v>
          </cell>
          <cell r="F63">
            <v>375.61</v>
          </cell>
        </row>
        <row r="64">
          <cell r="A64" t="str">
            <v>SINAPI-C-88267</v>
          </cell>
          <cell r="B64" t="str">
            <v>SINAPI-C</v>
          </cell>
          <cell r="C64">
            <v>88267</v>
          </cell>
          <cell r="D64" t="str">
            <v>Encanador com encargos complementares</v>
          </cell>
          <cell r="E64" t="str">
            <v>h</v>
          </cell>
          <cell r="F64">
            <v>19.635000000000002</v>
          </cell>
        </row>
        <row r="65">
          <cell r="A65" t="str">
            <v>SINAPI-I-40547</v>
          </cell>
          <cell r="B65" t="str">
            <v>SINAPI-I</v>
          </cell>
          <cell r="C65">
            <v>40547</v>
          </cell>
          <cell r="D65" t="str">
            <v>Prafuso autobrocente 4.2 x 19 mm</v>
          </cell>
          <cell r="E65" t="str">
            <v>unid</v>
          </cell>
          <cell r="F65">
            <v>0.14499999999999999</v>
          </cell>
        </row>
        <row r="66">
          <cell r="A66" t="str">
            <v>SINAPI-I-37591</v>
          </cell>
          <cell r="B66" t="str">
            <v>SINAPI-I</v>
          </cell>
          <cell r="C66">
            <v>37591</v>
          </cell>
          <cell r="D66" t="str">
            <v>Mão francesa de aço - 40 cm dois lados</v>
          </cell>
          <cell r="E66" t="str">
            <v>unid</v>
          </cell>
          <cell r="F66">
            <v>12.234999999999999</v>
          </cell>
        </row>
        <row r="67">
          <cell r="A67" t="str">
            <v>SINAPI-C-101025</v>
          </cell>
          <cell r="B67" t="str">
            <v>SINAPI-C</v>
          </cell>
          <cell r="C67">
            <v>101025</v>
          </cell>
          <cell r="D67" t="str">
            <v>Usinagem de CBUQ com CAP 50/70</v>
          </cell>
          <cell r="E67" t="str">
            <v>ton</v>
          </cell>
          <cell r="F67">
            <v>252.54</v>
          </cell>
        </row>
        <row r="68">
          <cell r="A68" t="str">
            <v>SINAPI-I-1518</v>
          </cell>
          <cell r="B68" t="str">
            <v>SINAPI-I</v>
          </cell>
          <cell r="C68">
            <v>1518</v>
          </cell>
          <cell r="D68" t="str">
            <v>CBUQ com CAP 50/70 posto na usina</v>
          </cell>
          <cell r="E68" t="str">
            <v>ton</v>
          </cell>
          <cell r="F68">
            <v>400</v>
          </cell>
        </row>
        <row r="69">
          <cell r="A69" t="str">
            <v>CP-7</v>
          </cell>
          <cell r="B69" t="str">
            <v>CP</v>
          </cell>
          <cell r="C69">
            <v>7</v>
          </cell>
          <cell r="D69" t="str">
            <v>Pavimentação com CBUQ - e= 6 cm</v>
          </cell>
          <cell r="E69" t="str">
            <v>m³</v>
          </cell>
          <cell r="F69">
            <v>723.84</v>
          </cell>
        </row>
        <row r="70">
          <cell r="A70" t="str">
            <v>SINAPI-C-88249</v>
          </cell>
          <cell r="B70" t="str">
            <v>SINAPI-C</v>
          </cell>
          <cell r="C70">
            <v>88249</v>
          </cell>
          <cell r="D70" t="str">
            <v>Auxiliar laboratório c/ encargos complementres</v>
          </cell>
          <cell r="E70" t="str">
            <v>h</v>
          </cell>
          <cell r="F70">
            <v>30.73</v>
          </cell>
        </row>
        <row r="71">
          <cell r="A71" t="str">
            <v>SINAPI-C-88321</v>
          </cell>
          <cell r="B71" t="str">
            <v>SINAPI-C</v>
          </cell>
          <cell r="C71">
            <v>88321</v>
          </cell>
          <cell r="D71" t="str">
            <v>Tecnico laboratório c/ encargos complementres</v>
          </cell>
          <cell r="E71" t="str">
            <v>h</v>
          </cell>
          <cell r="F71">
            <v>28.7</v>
          </cell>
        </row>
        <row r="72">
          <cell r="A72">
            <v>0</v>
          </cell>
          <cell r="B72">
            <v>0</v>
          </cell>
          <cell r="C72">
            <v>0</v>
          </cell>
          <cell r="D72">
            <v>0</v>
          </cell>
          <cell r="E72">
            <v>0</v>
          </cell>
          <cell r="F72">
            <v>0</v>
          </cell>
        </row>
        <row r="73">
          <cell r="A73">
            <v>0</v>
          </cell>
          <cell r="B73">
            <v>0</v>
          </cell>
          <cell r="C73">
            <v>0</v>
          </cell>
          <cell r="D73">
            <v>0</v>
          </cell>
          <cell r="E73">
            <v>0</v>
          </cell>
        </row>
        <row r="74">
          <cell r="A74">
            <v>0</v>
          </cell>
          <cell r="B74">
            <v>0</v>
          </cell>
          <cell r="C74">
            <v>0</v>
          </cell>
          <cell r="D74">
            <v>0</v>
          </cell>
          <cell r="E74">
            <v>0</v>
          </cell>
        </row>
        <row r="75">
          <cell r="A75">
            <v>0</v>
          </cell>
          <cell r="B75">
            <v>0</v>
          </cell>
          <cell r="C75">
            <v>0</v>
          </cell>
          <cell r="D75">
            <v>0</v>
          </cell>
          <cell r="E75">
            <v>0</v>
          </cell>
          <cell r="F75">
            <v>0</v>
          </cell>
        </row>
        <row r="76">
          <cell r="A76">
            <v>0</v>
          </cell>
          <cell r="B76">
            <v>0</v>
          </cell>
          <cell r="C76">
            <v>0</v>
          </cell>
          <cell r="D76">
            <v>0</v>
          </cell>
          <cell r="E76">
            <v>0</v>
          </cell>
        </row>
        <row r="77">
          <cell r="A77">
            <v>0</v>
          </cell>
          <cell r="B77">
            <v>0</v>
          </cell>
          <cell r="C77">
            <v>0</v>
          </cell>
          <cell r="D77">
            <v>0</v>
          </cell>
          <cell r="E77">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2">
    <pageSetUpPr fitToPage="1"/>
  </sheetPr>
  <dimension ref="A1:M80"/>
  <sheetViews>
    <sheetView tabSelected="1" view="pageBreakPreview" zoomScale="90" zoomScaleNormal="80" zoomScaleSheetLayoutView="90" zoomScalePageLayoutView="55" workbookViewId="0">
      <selection activeCell="I71" sqref="I71"/>
    </sheetView>
  </sheetViews>
  <sheetFormatPr defaultColWidth="9.140625" defaultRowHeight="20.100000000000001" customHeight="1" x14ac:dyDescent="0.25"/>
  <cols>
    <col min="1" max="1" width="8.7109375" style="97" customWidth="1"/>
    <col min="2" max="2" width="12.7109375" style="97" customWidth="1"/>
    <col min="3" max="3" width="12.7109375" style="83" customWidth="1"/>
    <col min="4" max="4" width="85.7109375" style="83" customWidth="1"/>
    <col min="5" max="5" width="10.7109375" style="93" customWidth="1"/>
    <col min="6" max="6" width="14.7109375" style="90" customWidth="1"/>
    <col min="7" max="7" width="17.5703125" style="90" customWidth="1"/>
    <col min="8" max="8" width="17.28515625" style="90" customWidth="1"/>
    <col min="9" max="9" width="25.28515625" style="90" customWidth="1"/>
    <col min="10" max="10" width="15.28515625" style="88" customWidth="1"/>
    <col min="11" max="11" width="15.140625" style="88" customWidth="1"/>
    <col min="12" max="12" width="16.5703125" style="88" customWidth="1"/>
    <col min="13" max="13" width="14" style="88" bestFit="1" customWidth="1"/>
    <col min="14" max="14" width="12.42578125" style="88" bestFit="1" customWidth="1"/>
    <col min="15" max="16384" width="9.140625" style="88"/>
  </cols>
  <sheetData>
    <row r="1" spans="1:13" ht="42.75" customHeight="1" thickBot="1" x14ac:dyDescent="0.3">
      <c r="A1" s="400" t="s">
        <v>216</v>
      </c>
      <c r="B1" s="401"/>
      <c r="C1" s="401"/>
      <c r="D1" s="401"/>
      <c r="E1" s="401"/>
      <c r="F1" s="401"/>
      <c r="G1" s="401"/>
      <c r="H1" s="401"/>
      <c r="I1" s="402"/>
      <c r="J1" s="285">
        <v>0.215</v>
      </c>
    </row>
    <row r="2" spans="1:13" ht="20.100000000000001" customHeight="1" thickTop="1" thickBot="1" x14ac:dyDescent="0.3">
      <c r="A2" s="116"/>
      <c r="H2" s="98"/>
      <c r="I2" s="214"/>
    </row>
    <row r="3" spans="1:13" ht="28.5" customHeight="1" x14ac:dyDescent="0.25">
      <c r="A3" s="403" t="s">
        <v>290</v>
      </c>
      <c r="B3" s="404"/>
      <c r="C3" s="404"/>
      <c r="D3" s="404"/>
      <c r="E3" s="404"/>
      <c r="F3" s="404"/>
      <c r="G3" s="404"/>
      <c r="H3" s="404"/>
      <c r="I3" s="405"/>
    </row>
    <row r="4" spans="1:13" ht="27.75" customHeight="1" thickBot="1" x14ac:dyDescent="0.3">
      <c r="A4" s="406" t="s">
        <v>322</v>
      </c>
      <c r="B4" s="407"/>
      <c r="C4" s="407"/>
      <c r="D4" s="407"/>
      <c r="E4" s="407"/>
      <c r="F4" s="407"/>
      <c r="G4" s="407"/>
      <c r="H4" s="407"/>
      <c r="I4" s="408"/>
    </row>
    <row r="5" spans="1:13" ht="20.100000000000001" customHeight="1" thickBot="1" x14ac:dyDescent="0.3">
      <c r="A5" s="116"/>
      <c r="H5" s="98"/>
      <c r="I5" s="214"/>
    </row>
    <row r="6" spans="1:13" ht="26.25" customHeight="1" x14ac:dyDescent="0.25">
      <c r="A6" s="160" t="s">
        <v>0</v>
      </c>
      <c r="B6" s="409" t="s">
        <v>1</v>
      </c>
      <c r="C6" s="409"/>
      <c r="D6" s="410" t="s">
        <v>2</v>
      </c>
      <c r="E6" s="410" t="s">
        <v>176</v>
      </c>
      <c r="F6" s="412" t="s">
        <v>171</v>
      </c>
      <c r="G6" s="414" t="s">
        <v>177</v>
      </c>
      <c r="H6" s="415"/>
      <c r="I6" s="166" t="s">
        <v>199</v>
      </c>
      <c r="L6" s="91"/>
    </row>
    <row r="7" spans="1:13" ht="27.75" customHeight="1" thickBot="1" x14ac:dyDescent="0.3">
      <c r="A7" s="101"/>
      <c r="B7" s="211" t="s">
        <v>174</v>
      </c>
      <c r="C7" s="211" t="s">
        <v>175</v>
      </c>
      <c r="D7" s="411"/>
      <c r="E7" s="411"/>
      <c r="F7" s="413"/>
      <c r="G7" s="198" t="s">
        <v>4</v>
      </c>
      <c r="H7" s="169">
        <f>BDI_Declaracao!$E$30</f>
        <v>21.5</v>
      </c>
      <c r="I7" s="170">
        <f>BDI_Declaracao!$E$30</f>
        <v>21.5</v>
      </c>
    </row>
    <row r="8" spans="1:13" ht="20.100000000000001" customHeight="1" thickBot="1" x14ac:dyDescent="0.3">
      <c r="A8" s="116"/>
      <c r="H8" s="99"/>
      <c r="I8" s="215"/>
    </row>
    <row r="9" spans="1:13" ht="20.100000000000001" customHeight="1" x14ac:dyDescent="0.25">
      <c r="A9" s="341">
        <v>1</v>
      </c>
      <c r="B9" s="342"/>
      <c r="C9" s="342"/>
      <c r="D9" s="343" t="s">
        <v>29</v>
      </c>
      <c r="E9" s="344"/>
      <c r="F9" s="345"/>
      <c r="G9" s="346"/>
      <c r="H9" s="346"/>
      <c r="I9" s="347"/>
    </row>
    <row r="10" spans="1:13" ht="20.100000000000001" customHeight="1" x14ac:dyDescent="0.25">
      <c r="A10" s="232" t="s">
        <v>13</v>
      </c>
      <c r="B10" s="233" t="s">
        <v>172</v>
      </c>
      <c r="C10" s="234">
        <v>4</v>
      </c>
      <c r="D10" s="234" t="str">
        <f>R_Preço!D30</f>
        <v>Placa da obra em chapa de aço galvanizado, colocada</v>
      </c>
      <c r="E10" s="235" t="str">
        <f>IF(B10="","",VLOOKUP(CONCATENATE(B10&amp;"-"&amp;C10),R_Preço!$A$8:$F$449,5,FALSE))</f>
        <v>m²</v>
      </c>
      <c r="F10" s="236">
        <f>M_Glob!I7</f>
        <v>4.5</v>
      </c>
      <c r="G10" s="257"/>
      <c r="H10" s="237">
        <f>G10+(G10*BDI)</f>
        <v>0</v>
      </c>
      <c r="I10" s="238">
        <f>H10*F10</f>
        <v>0</v>
      </c>
      <c r="J10" s="165"/>
      <c r="K10" s="165"/>
      <c r="M10" s="165"/>
    </row>
    <row r="11" spans="1:13" ht="20.100000000000001" customHeight="1" x14ac:dyDescent="0.25">
      <c r="A11" s="232" t="s">
        <v>14</v>
      </c>
      <c r="B11" s="233" t="s">
        <v>11</v>
      </c>
      <c r="C11" s="234">
        <v>99062</v>
      </c>
      <c r="D11" s="234" t="s">
        <v>324</v>
      </c>
      <c r="E11" s="235" t="s">
        <v>33</v>
      </c>
      <c r="F11" s="236">
        <f>M_Glob!I12</f>
        <v>250</v>
      </c>
      <c r="G11" s="257"/>
      <c r="H11" s="237">
        <f>G11+(G11*BDI)</f>
        <v>0</v>
      </c>
      <c r="I11" s="238">
        <f t="shared" ref="I11" si="0">H11*F11</f>
        <v>0</v>
      </c>
      <c r="J11" s="165"/>
      <c r="K11" s="165"/>
      <c r="L11" s="165"/>
      <c r="M11" s="165"/>
    </row>
    <row r="12" spans="1:13" ht="20.100000000000001" customHeight="1" thickBot="1" x14ac:dyDescent="0.3">
      <c r="A12" s="107"/>
      <c r="B12" s="108"/>
      <c r="C12" s="108"/>
      <c r="D12" s="112" t="s">
        <v>178</v>
      </c>
      <c r="E12" s="109"/>
      <c r="F12" s="108"/>
      <c r="G12" s="110"/>
      <c r="H12" s="110"/>
      <c r="I12" s="355">
        <f>SUM(I10:I11)</f>
        <v>0</v>
      </c>
      <c r="M12" s="165"/>
    </row>
    <row r="13" spans="1:13" ht="20.100000000000001" customHeight="1" thickBot="1" x14ac:dyDescent="0.3">
      <c r="A13" s="116"/>
      <c r="F13" s="97"/>
      <c r="G13" s="100"/>
      <c r="H13" s="100"/>
      <c r="I13" s="164"/>
      <c r="M13" s="165"/>
    </row>
    <row r="14" spans="1:13" ht="20.100000000000001" customHeight="1" x14ac:dyDescent="0.25">
      <c r="A14" s="348">
        <v>2</v>
      </c>
      <c r="B14" s="349"/>
      <c r="C14" s="349"/>
      <c r="D14" s="350" t="s">
        <v>30</v>
      </c>
      <c r="E14" s="351"/>
      <c r="F14" s="352"/>
      <c r="G14" s="353"/>
      <c r="H14" s="353"/>
      <c r="I14" s="354"/>
      <c r="M14" s="165"/>
    </row>
    <row r="15" spans="1:13" ht="20.100000000000001" customHeight="1" x14ac:dyDescent="0.25">
      <c r="A15" s="232" t="s">
        <v>15</v>
      </c>
      <c r="B15" s="233" t="s">
        <v>172</v>
      </c>
      <c r="C15" s="234">
        <v>1</v>
      </c>
      <c r="D15" s="234" t="str">
        <f>VLOOKUP(CONCATENATE(B15&amp;"-"&amp;C15),R_Preço!$A$8:$F$449,4,FALSE)</f>
        <v>Administração local de pessoal técnico e administrativo</v>
      </c>
      <c r="E15" s="235" t="str">
        <f>IF(B15="","",VLOOKUP(CONCATENATE(B15&amp;"-"&amp;C15),R_Preço!$A$8:$F$449,5,FALSE))</f>
        <v>%</v>
      </c>
      <c r="F15" s="253">
        <f>M_Glob!I20</f>
        <v>1</v>
      </c>
      <c r="G15" s="257"/>
      <c r="H15" s="237">
        <f>G15+(G15*BDI)</f>
        <v>0</v>
      </c>
      <c r="I15" s="238">
        <f>H15*F15</f>
        <v>0</v>
      </c>
      <c r="L15" s="165"/>
      <c r="M15" s="165"/>
    </row>
    <row r="16" spans="1:13" ht="20.100000000000001" customHeight="1" thickBot="1" x14ac:dyDescent="0.3">
      <c r="A16" s="107"/>
      <c r="B16" s="108"/>
      <c r="C16" s="108"/>
      <c r="D16" s="112" t="s">
        <v>179</v>
      </c>
      <c r="E16" s="109"/>
      <c r="F16" s="108"/>
      <c r="G16" s="110"/>
      <c r="H16" s="110"/>
      <c r="I16" s="355">
        <f>SUM(I15)</f>
        <v>0</v>
      </c>
      <c r="M16" s="165"/>
    </row>
    <row r="17" spans="1:13" ht="20.100000000000001" customHeight="1" thickBot="1" x14ac:dyDescent="0.3">
      <c r="A17" s="116"/>
      <c r="F17" s="97"/>
      <c r="G17" s="100"/>
      <c r="H17" s="100"/>
      <c r="I17" s="164"/>
      <c r="M17" s="165"/>
    </row>
    <row r="18" spans="1:13" ht="20.100000000000001" customHeight="1" x14ac:dyDescent="0.25">
      <c r="A18" s="341">
        <v>3</v>
      </c>
      <c r="B18" s="342"/>
      <c r="C18" s="342"/>
      <c r="D18" s="343" t="s">
        <v>217</v>
      </c>
      <c r="E18" s="351"/>
      <c r="F18" s="352"/>
      <c r="G18" s="353"/>
      <c r="H18" s="353"/>
      <c r="I18" s="354"/>
      <c r="M18" s="165"/>
    </row>
    <row r="19" spans="1:13" ht="20.100000000000001" customHeight="1" x14ac:dyDescent="0.25">
      <c r="A19" s="356" t="s">
        <v>16</v>
      </c>
      <c r="B19" s="357"/>
      <c r="C19" s="358"/>
      <c r="D19" s="359" t="s">
        <v>293</v>
      </c>
      <c r="E19" s="360"/>
      <c r="F19" s="361"/>
      <c r="G19" s="362"/>
      <c r="H19" s="362"/>
      <c r="I19" s="363"/>
      <c r="M19" s="165"/>
    </row>
    <row r="20" spans="1:13" ht="20.100000000000001" customHeight="1" x14ac:dyDescent="0.25">
      <c r="A20" s="249" t="s">
        <v>201</v>
      </c>
      <c r="B20" s="250" t="s">
        <v>11</v>
      </c>
      <c r="C20" s="111">
        <v>100577</v>
      </c>
      <c r="D20" s="111" t="str">
        <f>VLOOKUP(CONCATENATE(B20&amp;"-"&amp;C20),R_Preço!$A$8:$F$449,4,FALSE)</f>
        <v>Regularização e compactação de subleito, até 20 cm de espessura - Mecanizada</v>
      </c>
      <c r="E20" s="251" t="str">
        <f>IF(B20="","",VLOOKUP(CONCATENATE(B20&amp;"-"&amp;C20),R_Preço!$A$8:$F$449,5,FALSE))</f>
        <v>m²</v>
      </c>
      <c r="F20" s="252">
        <f>M_Glob!I28</f>
        <v>1200</v>
      </c>
      <c r="G20" s="258"/>
      <c r="H20" s="237">
        <f>G20+(G20*BDI)</f>
        <v>0</v>
      </c>
      <c r="I20" s="238">
        <f>H20*F20</f>
        <v>0</v>
      </c>
      <c r="M20" s="165"/>
    </row>
    <row r="21" spans="1:13" ht="20.100000000000001" customHeight="1" x14ac:dyDescent="0.25">
      <c r="A21" s="249" t="s">
        <v>307</v>
      </c>
      <c r="B21" s="250" t="s">
        <v>11</v>
      </c>
      <c r="C21" s="111">
        <v>96396</v>
      </c>
      <c r="D21" s="111" t="str">
        <f>VLOOKUP(CONCATENATE(B21&amp;"-"&amp;C21),R_Preço!$A$8:$F$449,4,FALSE)</f>
        <v>Execução de base de brita graduada c/fornecimento de material s/transporte</v>
      </c>
      <c r="E21" s="251" t="str">
        <f>IF(B21="","",VLOOKUP(CONCATENATE(B21&amp;"-"&amp;C21),R_Preço!$A$8:$F$449,5,FALSE))</f>
        <v>m³</v>
      </c>
      <c r="F21" s="252">
        <f>M_Glob!I34</f>
        <v>180</v>
      </c>
      <c r="G21" s="258"/>
      <c r="H21" s="237">
        <f>G21+(G21*BDI)</f>
        <v>0</v>
      </c>
      <c r="I21" s="238">
        <f t="shared" ref="I21:I22" si="1">H21*F21</f>
        <v>0</v>
      </c>
      <c r="K21" s="165"/>
      <c r="M21" s="165"/>
    </row>
    <row r="22" spans="1:13" ht="20.100000000000001" customHeight="1" x14ac:dyDescent="0.25">
      <c r="A22" s="232" t="s">
        <v>308</v>
      </c>
      <c r="B22" s="233" t="s">
        <v>11</v>
      </c>
      <c r="C22" s="234">
        <v>95875</v>
      </c>
      <c r="D22" s="234" t="str">
        <f>VLOOKUP(CONCATENATE(B22&amp;"-"&amp;C22),R_Preço!$A$8:$F$449,4,FALSE)</f>
        <v>Transporte de material, com caminhão basculante. Até 30 km</v>
      </c>
      <c r="E22" s="235" t="str">
        <f>IF(B22="","",VLOOKUP(CONCATENATE(B22&amp;"-"&amp;C22),R_Preço!$A$8:$F$449,5,FALSE))</f>
        <v>m³xkm</v>
      </c>
      <c r="F22" s="236">
        <f>M_Glob!I39</f>
        <v>3470.22</v>
      </c>
      <c r="G22" s="257"/>
      <c r="H22" s="237">
        <f>G22+(G22*BDI)</f>
        <v>0</v>
      </c>
      <c r="I22" s="238">
        <f t="shared" si="1"/>
        <v>0</v>
      </c>
      <c r="K22" s="165"/>
      <c r="M22" s="165"/>
    </row>
    <row r="23" spans="1:13" ht="20.100000000000001" customHeight="1" x14ac:dyDescent="0.25">
      <c r="A23" s="115"/>
      <c r="B23" s="88"/>
      <c r="C23" s="88"/>
      <c r="D23" s="151" t="s">
        <v>206</v>
      </c>
      <c r="E23" s="212"/>
      <c r="F23" s="152"/>
      <c r="G23" s="153"/>
      <c r="H23" s="153"/>
      <c r="I23" s="370">
        <f>SUM(I20:I22)</f>
        <v>0</v>
      </c>
      <c r="M23" s="165"/>
    </row>
    <row r="24" spans="1:13" ht="18" customHeight="1" x14ac:dyDescent="0.25">
      <c r="A24" s="116"/>
      <c r="F24" s="97"/>
      <c r="G24" s="100"/>
      <c r="H24" s="100"/>
      <c r="I24" s="164"/>
      <c r="M24" s="165"/>
    </row>
    <row r="25" spans="1:13" ht="20.100000000000001" customHeight="1" x14ac:dyDescent="0.25">
      <c r="A25" s="356" t="s">
        <v>17</v>
      </c>
      <c r="B25" s="371"/>
      <c r="C25" s="371"/>
      <c r="D25" s="359" t="s">
        <v>353</v>
      </c>
      <c r="E25" s="360"/>
      <c r="F25" s="361"/>
      <c r="G25" s="362"/>
      <c r="H25" s="362"/>
      <c r="I25" s="363"/>
      <c r="M25" s="165"/>
    </row>
    <row r="26" spans="1:13" ht="20.100000000000001" customHeight="1" x14ac:dyDescent="0.25">
      <c r="A26" s="232" t="s">
        <v>202</v>
      </c>
      <c r="B26" s="233" t="s">
        <v>11</v>
      </c>
      <c r="C26" s="234">
        <v>94273</v>
      </c>
      <c r="D26" s="246" t="str">
        <f>VLOOKUP(CONCATENATE(B26&amp;"-"&amp;C26),R_Preço!$A$8:$F$449,4,FALSE)</f>
        <v>Execução de meio-fio pré-moldado (1,00x0,30x0,13x0,15), inclus. carga, transporte</v>
      </c>
      <c r="E26" s="247" t="str">
        <f>IF(B26="","",VLOOKUP(CONCATENATE(B26&amp;"-"&amp;C26),R_Preço!$A$8:$F$449,5,FALSE))</f>
        <v>m</v>
      </c>
      <c r="F26" s="248">
        <f>M_Glob!I47</f>
        <v>250</v>
      </c>
      <c r="G26" s="259"/>
      <c r="H26" s="237">
        <f>G26+(G26*BDI)</f>
        <v>0</v>
      </c>
      <c r="I26" s="238">
        <f>H26*F26</f>
        <v>0</v>
      </c>
      <c r="K26" s="165"/>
      <c r="M26" s="165"/>
    </row>
    <row r="27" spans="1:13" ht="20.100000000000001" customHeight="1" x14ac:dyDescent="0.25">
      <c r="A27" s="116"/>
      <c r="D27" s="113" t="s">
        <v>207</v>
      </c>
      <c r="E27" s="104"/>
      <c r="F27" s="105"/>
      <c r="G27" s="106"/>
      <c r="H27" s="106"/>
      <c r="I27" s="369">
        <f>I26</f>
        <v>0</v>
      </c>
      <c r="M27" s="165"/>
    </row>
    <row r="28" spans="1:13" ht="18" customHeight="1" x14ac:dyDescent="0.25">
      <c r="A28" s="116"/>
      <c r="F28" s="97"/>
      <c r="G28" s="100"/>
      <c r="H28" s="100"/>
      <c r="I28" s="164"/>
      <c r="M28" s="165"/>
    </row>
    <row r="29" spans="1:13" ht="20.100000000000001" customHeight="1" x14ac:dyDescent="0.25">
      <c r="A29" s="356" t="s">
        <v>18</v>
      </c>
      <c r="B29" s="371"/>
      <c r="C29" s="371"/>
      <c r="D29" s="359" t="s">
        <v>42</v>
      </c>
      <c r="E29" s="360"/>
      <c r="F29" s="361"/>
      <c r="G29" s="362"/>
      <c r="H29" s="362"/>
      <c r="I29" s="363"/>
      <c r="M29" s="165"/>
    </row>
    <row r="30" spans="1:13" ht="30" x14ac:dyDescent="0.25">
      <c r="A30" s="232" t="s">
        <v>203</v>
      </c>
      <c r="B30" s="233" t="s">
        <v>11</v>
      </c>
      <c r="C30" s="234">
        <v>92398</v>
      </c>
      <c r="D30" s="234" t="s">
        <v>325</v>
      </c>
      <c r="E30" s="235" t="s">
        <v>7</v>
      </c>
      <c r="F30" s="241">
        <f>M_Glob!I56</f>
        <v>1125</v>
      </c>
      <c r="G30" s="257"/>
      <c r="H30" s="237">
        <f>G30+(G30*BDI)</f>
        <v>0</v>
      </c>
      <c r="I30" s="238">
        <f>H30*F30</f>
        <v>0</v>
      </c>
      <c r="K30" s="165"/>
      <c r="M30" s="165"/>
    </row>
    <row r="31" spans="1:13" ht="20.100000000000001" customHeight="1" x14ac:dyDescent="0.25">
      <c r="A31" s="232"/>
      <c r="B31" s="233"/>
      <c r="C31" s="234"/>
      <c r="D31" s="240" t="s">
        <v>220</v>
      </c>
      <c r="E31" s="235"/>
      <c r="F31" s="235"/>
      <c r="G31" s="237"/>
      <c r="H31" s="237" t="str">
        <f t="shared" ref="H31" si="2">IF($B31="","",ROUND($G31*((100+$H$7)/100),2))</f>
        <v/>
      </c>
      <c r="I31" s="238" t="str">
        <f t="shared" ref="I31" si="3">IF($B31="","",ROUND($F31*H31,2))</f>
        <v/>
      </c>
      <c r="K31" s="165"/>
      <c r="M31" s="165"/>
    </row>
    <row r="32" spans="1:13" ht="20.100000000000001" customHeight="1" x14ac:dyDescent="0.25">
      <c r="A32" s="242" t="s">
        <v>284</v>
      </c>
      <c r="B32" s="243" t="s">
        <v>11</v>
      </c>
      <c r="C32" s="244">
        <v>95875</v>
      </c>
      <c r="D32" s="244" t="str">
        <f>VLOOKUP(CONCATENATE(B32&amp;"-"&amp;C32),R_Preço!$A$8:$F$449,4,FALSE)</f>
        <v>Transporte de material, com caminhão basculante. Até 30 km</v>
      </c>
      <c r="E32" s="199" t="str">
        <f>IF(B32="","",VLOOKUP(CONCATENATE(B32&amp;"-"&amp;C32),R_Preço!$A$8:$F$449,5,FALSE))</f>
        <v>m³xkm</v>
      </c>
      <c r="F32" s="245">
        <f>M_Glob!I60</f>
        <v>1001.03</v>
      </c>
      <c r="G32" s="260"/>
      <c r="H32" s="237">
        <f>G32+(G32*BDI)</f>
        <v>0</v>
      </c>
      <c r="I32" s="238">
        <f>H32*F32</f>
        <v>0</v>
      </c>
      <c r="K32" s="165"/>
      <c r="M32" s="165"/>
    </row>
    <row r="33" spans="1:13" ht="20.100000000000001" customHeight="1" x14ac:dyDescent="0.25">
      <c r="A33" s="115"/>
      <c r="B33" s="88"/>
      <c r="C33" s="88"/>
      <c r="D33" s="151" t="s">
        <v>204</v>
      </c>
      <c r="E33" s="212"/>
      <c r="F33" s="152"/>
      <c r="G33" s="153"/>
      <c r="H33" s="153"/>
      <c r="I33" s="370">
        <f>SUM(I30:I32)</f>
        <v>0</v>
      </c>
      <c r="M33" s="165"/>
    </row>
    <row r="34" spans="1:13" ht="20.100000000000001" customHeight="1" x14ac:dyDescent="0.25">
      <c r="A34" s="115"/>
      <c r="B34" s="88"/>
      <c r="C34" s="88"/>
      <c r="D34" s="113" t="s">
        <v>205</v>
      </c>
      <c r="E34" s="104"/>
      <c r="F34" s="103"/>
      <c r="G34" s="106"/>
      <c r="H34" s="106"/>
      <c r="I34" s="369">
        <f>I23+I27+I33</f>
        <v>0</v>
      </c>
      <c r="M34" s="165"/>
    </row>
    <row r="35" spans="1:13" ht="18" customHeight="1" x14ac:dyDescent="0.25">
      <c r="A35" s="116"/>
      <c r="F35" s="97"/>
      <c r="G35" s="100"/>
      <c r="H35" s="100"/>
      <c r="I35" s="164"/>
      <c r="M35" s="165"/>
    </row>
    <row r="36" spans="1:13" ht="20.100000000000001" customHeight="1" x14ac:dyDescent="0.25">
      <c r="A36" s="356">
        <v>4</v>
      </c>
      <c r="B36" s="357"/>
      <c r="C36" s="358"/>
      <c r="D36" s="359" t="s">
        <v>219</v>
      </c>
      <c r="E36" s="360"/>
      <c r="F36" s="361"/>
      <c r="G36" s="362"/>
      <c r="H36" s="362"/>
      <c r="I36" s="363"/>
      <c r="M36" s="165"/>
    </row>
    <row r="37" spans="1:13" ht="32.25" customHeight="1" x14ac:dyDescent="0.25">
      <c r="A37" s="232" t="s">
        <v>32</v>
      </c>
      <c r="B37" s="233" t="s">
        <v>11</v>
      </c>
      <c r="C37" s="111">
        <v>94318</v>
      </c>
      <c r="D37" s="234" t="s">
        <v>333</v>
      </c>
      <c r="E37" s="235" t="s">
        <v>9</v>
      </c>
      <c r="F37" s="236">
        <f>M_Glob!I68</f>
        <v>40.299999999999997</v>
      </c>
      <c r="G37" s="257"/>
      <c r="H37" s="237">
        <f>G37+(G37*BDI)</f>
        <v>0</v>
      </c>
      <c r="I37" s="238">
        <f>H37*F37</f>
        <v>0</v>
      </c>
      <c r="M37" s="165"/>
    </row>
    <row r="38" spans="1:13" ht="20.100000000000001" customHeight="1" x14ac:dyDescent="0.25">
      <c r="A38" s="232" t="s">
        <v>309</v>
      </c>
      <c r="B38" s="233" t="s">
        <v>11</v>
      </c>
      <c r="C38" s="111">
        <v>100577</v>
      </c>
      <c r="D38" s="234" t="str">
        <f>VLOOKUP(CONCATENATE(B38&amp;"-"&amp;C38),R_Preço!$A$8:$F$449,4,FALSE)</f>
        <v>Regularização e compactação de subleito, até 20 cm de espessura - Mecanizada</v>
      </c>
      <c r="E38" s="235" t="str">
        <f>IF(B38="","",VLOOKUP(CONCATENATE(B38&amp;"-"&amp;C38),R_Preço!$A$8:$F$449,5,FALSE))</f>
        <v>m²</v>
      </c>
      <c r="F38" s="236">
        <f>M_Glob!I77</f>
        <v>403.02</v>
      </c>
      <c r="G38" s="257"/>
      <c r="H38" s="237">
        <f>G38+(G38*BDI)</f>
        <v>0</v>
      </c>
      <c r="I38" s="238">
        <f t="shared" ref="I38:I42" si="4">H38*F38</f>
        <v>0</v>
      </c>
      <c r="M38" s="165"/>
    </row>
    <row r="39" spans="1:13" ht="30" customHeight="1" x14ac:dyDescent="0.25">
      <c r="A39" s="232" t="s">
        <v>310</v>
      </c>
      <c r="B39" s="233" t="s">
        <v>11</v>
      </c>
      <c r="C39" s="234">
        <v>92396</v>
      </c>
      <c r="D39" s="234" t="s">
        <v>334</v>
      </c>
      <c r="E39" s="235" t="s">
        <v>7</v>
      </c>
      <c r="F39" s="236">
        <f>M_Glob!I84</f>
        <v>403.02</v>
      </c>
      <c r="G39" s="257"/>
      <c r="H39" s="237">
        <f>G39+(G39*BDI)</f>
        <v>0</v>
      </c>
      <c r="I39" s="238">
        <f t="shared" si="4"/>
        <v>0</v>
      </c>
      <c r="K39" s="165"/>
      <c r="M39" s="165"/>
    </row>
    <row r="40" spans="1:13" ht="20.100000000000001" customHeight="1" x14ac:dyDescent="0.25">
      <c r="A40" s="232"/>
      <c r="B40" s="233"/>
      <c r="C40" s="234"/>
      <c r="D40" s="240" t="s">
        <v>220</v>
      </c>
      <c r="E40" s="235"/>
      <c r="F40" s="236"/>
      <c r="G40" s="237"/>
      <c r="H40" s="237"/>
      <c r="I40" s="238"/>
      <c r="M40" s="165"/>
    </row>
    <row r="41" spans="1:13" ht="20.100000000000001" customHeight="1" x14ac:dyDescent="0.25">
      <c r="A41" s="232" t="s">
        <v>311</v>
      </c>
      <c r="B41" s="233" t="s">
        <v>11</v>
      </c>
      <c r="C41" s="234">
        <v>95875</v>
      </c>
      <c r="D41" s="234" t="str">
        <f>VLOOKUP(CONCATENATE(B41&amp;"-"&amp;C41),R_Preço!$A$8:$F$449,4,FALSE)</f>
        <v>Transporte de material, com caminhão basculante. Até 30 km</v>
      </c>
      <c r="E41" s="235" t="str">
        <f>IF(B41="","",VLOOKUP(CONCATENATE(B41&amp;"-"&amp;C41),R_Preço!$A$8:$F$449,5,FALSE))</f>
        <v>m³xkm</v>
      </c>
      <c r="F41" s="236">
        <f>M_Glob!I92</f>
        <v>286.81</v>
      </c>
      <c r="G41" s="257"/>
      <c r="H41" s="237">
        <f>G41+(G41*BDI)</f>
        <v>0</v>
      </c>
      <c r="I41" s="238">
        <f t="shared" si="4"/>
        <v>0</v>
      </c>
      <c r="K41" s="165"/>
      <c r="M41" s="165"/>
    </row>
    <row r="42" spans="1:13" ht="20.100000000000001" customHeight="1" x14ac:dyDescent="0.25">
      <c r="A42" s="232" t="s">
        <v>332</v>
      </c>
      <c r="B42" s="233" t="s">
        <v>11</v>
      </c>
      <c r="C42" s="234">
        <v>94273</v>
      </c>
      <c r="D42" s="234" t="str">
        <f>VLOOKUP(CONCATENATE(B42&amp;"-"&amp;C42),R_Preço!$A$8:$F$449,4,FALSE)</f>
        <v>Execução de meio-fio pré-moldado (1,00x0,30x0,13x0,15), inclus. carga, transporte</v>
      </c>
      <c r="E42" s="235" t="str">
        <f>IF(B42="","",VLOOKUP(CONCATENATE(B42&amp;"-"&amp;C42),R_Preço!$A$8:$F$449,5,FALSE))</f>
        <v>m</v>
      </c>
      <c r="F42" s="236">
        <f>M_Glob!I99</f>
        <v>148</v>
      </c>
      <c r="G42" s="257"/>
      <c r="H42" s="237">
        <f>G42+(G42*BDI)</f>
        <v>0</v>
      </c>
      <c r="I42" s="238">
        <f t="shared" si="4"/>
        <v>0</v>
      </c>
      <c r="K42" s="165"/>
      <c r="M42" s="165"/>
    </row>
    <row r="43" spans="1:13" ht="20.100000000000001" customHeight="1" thickBot="1" x14ac:dyDescent="0.3">
      <c r="A43" s="107"/>
      <c r="B43" s="108"/>
      <c r="C43" s="108"/>
      <c r="D43" s="117" t="s">
        <v>221</v>
      </c>
      <c r="E43" s="118"/>
      <c r="F43" s="118"/>
      <c r="G43" s="119"/>
      <c r="H43" s="119"/>
      <c r="I43" s="368">
        <f>SUM(I37:I42)</f>
        <v>0</v>
      </c>
      <c r="J43" s="165"/>
      <c r="L43" s="165"/>
      <c r="M43" s="165"/>
    </row>
    <row r="44" spans="1:13" ht="18" customHeight="1" thickBot="1" x14ac:dyDescent="0.3">
      <c r="A44" s="116"/>
      <c r="F44" s="97"/>
      <c r="G44" s="100"/>
      <c r="H44" s="100"/>
      <c r="I44" s="164"/>
      <c r="M44" s="165"/>
    </row>
    <row r="45" spans="1:13" ht="20.100000000000001" customHeight="1" x14ac:dyDescent="0.25">
      <c r="A45" s="341">
        <v>5</v>
      </c>
      <c r="B45" s="342"/>
      <c r="C45" s="342"/>
      <c r="D45" s="343" t="s">
        <v>312</v>
      </c>
      <c r="E45" s="344"/>
      <c r="F45" s="364"/>
      <c r="G45" s="346"/>
      <c r="H45" s="346"/>
      <c r="I45" s="347"/>
      <c r="M45" s="165"/>
    </row>
    <row r="46" spans="1:13" ht="20.100000000000001" customHeight="1" x14ac:dyDescent="0.25">
      <c r="A46" s="232" t="s">
        <v>212</v>
      </c>
      <c r="B46" s="233" t="s">
        <v>172</v>
      </c>
      <c r="C46" s="234">
        <v>5</v>
      </c>
      <c r="D46" s="234" t="s">
        <v>444</v>
      </c>
      <c r="E46" s="235" t="s">
        <v>7</v>
      </c>
      <c r="F46" s="236">
        <f>M_Glob!I105</f>
        <v>0.2</v>
      </c>
      <c r="G46" s="257"/>
      <c r="H46" s="237">
        <f>G46+(G46*BDI)</f>
        <v>0</v>
      </c>
      <c r="I46" s="238">
        <f t="shared" ref="I46:I50" si="5">H46*F46</f>
        <v>0</v>
      </c>
      <c r="M46" s="165"/>
    </row>
    <row r="47" spans="1:13" ht="20.100000000000001" customHeight="1" x14ac:dyDescent="0.25">
      <c r="A47" s="232" t="s">
        <v>313</v>
      </c>
      <c r="B47" s="233" t="s">
        <v>12</v>
      </c>
      <c r="C47" s="234">
        <v>21013</v>
      </c>
      <c r="D47" s="234" t="str">
        <f>VLOOKUP(CONCATENATE(B47&amp;"-"&amp;C47),R_Preço!$A$8:$F$449,4,FALSE)</f>
        <v>Suporte metálico D=2'' parede 3mm  galvanizado a fogo</v>
      </c>
      <c r="E47" s="235" t="str">
        <f>VLOOKUP(CONCATENATE(B47&amp;"-"&amp;C47),R_Preço!$A$8:$F$449,5,FALSE)</f>
        <v>m</v>
      </c>
      <c r="F47" s="236">
        <f>M_Glob!I113</f>
        <v>3.1</v>
      </c>
      <c r="G47" s="257"/>
      <c r="H47" s="237">
        <f>G47+(G47*BDI)</f>
        <v>0</v>
      </c>
      <c r="I47" s="238">
        <f t="shared" si="5"/>
        <v>0</v>
      </c>
      <c r="M47" s="165"/>
    </row>
    <row r="48" spans="1:13" ht="20.100000000000001" customHeight="1" x14ac:dyDescent="0.25">
      <c r="A48" s="232" t="s">
        <v>314</v>
      </c>
      <c r="B48" s="233" t="s">
        <v>11</v>
      </c>
      <c r="C48" s="234">
        <v>93358</v>
      </c>
      <c r="D48" s="234" t="str">
        <f>VLOOKUP(CONCATENATE(B48&amp;"-"&amp;C48),R_Preço!$A$8:$F$449,4,FALSE)</f>
        <v>Escavação manual de valas - material de 1ª categoria</v>
      </c>
      <c r="E48" s="235" t="str">
        <f>VLOOKUP(CONCATENATE(B48&amp;"-"&amp;C48),R_Preço!$A$8:$F$449,5,FALSE)</f>
        <v>m³</v>
      </c>
      <c r="F48" s="236">
        <v>0.19</v>
      </c>
      <c r="G48" s="257"/>
      <c r="H48" s="237">
        <f>G48+(G48*BDI)</f>
        <v>0</v>
      </c>
      <c r="I48" s="238">
        <f t="shared" si="5"/>
        <v>0</v>
      </c>
      <c r="J48" s="165"/>
      <c r="M48" s="165"/>
    </row>
    <row r="49" spans="1:13" ht="20.100000000000001" customHeight="1" x14ac:dyDescent="0.25">
      <c r="A49" s="232" t="s">
        <v>315</v>
      </c>
      <c r="B49" s="233" t="s">
        <v>11</v>
      </c>
      <c r="C49" s="234">
        <v>94962</v>
      </c>
      <c r="D49" s="234" t="str">
        <f>VLOOKUP(CONCATENATE(B49&amp;"-"&amp;C49),R_Preço!$A$8:$F$449,4,FALSE)</f>
        <v>Concreto magro</v>
      </c>
      <c r="E49" s="235" t="str">
        <f>VLOOKUP(CONCATENATE(B49&amp;"-"&amp;C49),R_Preço!$A$8:$F$449,5,FALSE)</f>
        <v>m³</v>
      </c>
      <c r="F49" s="239">
        <v>0.19</v>
      </c>
      <c r="G49" s="257"/>
      <c r="H49" s="237">
        <f>G49+(G49*BDI)</f>
        <v>0</v>
      </c>
      <c r="I49" s="238">
        <f t="shared" si="5"/>
        <v>0</v>
      </c>
      <c r="M49" s="165"/>
    </row>
    <row r="50" spans="1:13" ht="20.100000000000001" customHeight="1" x14ac:dyDescent="0.25">
      <c r="A50" s="232" t="s">
        <v>335</v>
      </c>
      <c r="B50" s="233" t="s">
        <v>172</v>
      </c>
      <c r="C50" s="234">
        <v>2</v>
      </c>
      <c r="D50" s="234" t="s">
        <v>255</v>
      </c>
      <c r="E50" s="235" t="s">
        <v>337</v>
      </c>
      <c r="F50" s="239">
        <v>2</v>
      </c>
      <c r="G50" s="257"/>
      <c r="H50" s="237">
        <f>G50+(G50*BDI)</f>
        <v>0</v>
      </c>
      <c r="I50" s="238">
        <f t="shared" si="5"/>
        <v>0</v>
      </c>
      <c r="M50" s="165"/>
    </row>
    <row r="51" spans="1:13" ht="20.100000000000001" customHeight="1" thickBot="1" x14ac:dyDescent="0.3">
      <c r="A51" s="121"/>
      <c r="B51" s="108"/>
      <c r="C51" s="108"/>
      <c r="D51" s="154" t="s">
        <v>180</v>
      </c>
      <c r="E51" s="109"/>
      <c r="F51" s="155"/>
      <c r="G51" s="110"/>
      <c r="H51" s="110"/>
      <c r="I51" s="355">
        <f>SUM(I46:I50)</f>
        <v>0</v>
      </c>
      <c r="M51" s="165"/>
    </row>
    <row r="52" spans="1:13" ht="15.95" customHeight="1" thickBot="1" x14ac:dyDescent="0.3">
      <c r="A52" s="116"/>
      <c r="F52" s="97"/>
      <c r="G52" s="100"/>
      <c r="H52" s="100"/>
      <c r="I52" s="164"/>
      <c r="M52" s="165"/>
    </row>
    <row r="53" spans="1:13" ht="15.95" customHeight="1" x14ac:dyDescent="0.25">
      <c r="A53" s="341">
        <v>6</v>
      </c>
      <c r="B53" s="342"/>
      <c r="C53" s="342"/>
      <c r="D53" s="343" t="s">
        <v>344</v>
      </c>
      <c r="E53" s="344"/>
      <c r="F53" s="364"/>
      <c r="G53" s="346"/>
      <c r="H53" s="346"/>
      <c r="I53" s="347"/>
      <c r="M53" s="165"/>
    </row>
    <row r="54" spans="1:13" ht="15.95" customHeight="1" x14ac:dyDescent="0.25">
      <c r="A54" s="286" t="s">
        <v>304</v>
      </c>
      <c r="B54" s="287" t="s">
        <v>11</v>
      </c>
      <c r="C54" s="288">
        <v>93358</v>
      </c>
      <c r="D54" s="288" t="str">
        <f>VLOOKUP(CONCATENATE(B54&amp;"-"&amp;C54),[2]R_Preço!$A$8:$F$448,4,FALSE)</f>
        <v>Escavação manual de valas - material de 1ª categoria</v>
      </c>
      <c r="E54" s="289" t="str">
        <f>VLOOKUP(CONCATENATE(B54&amp;"-"&amp;C54),[2]R_Preço!$A$8:$F$448,5,FALSE)</f>
        <v>m³</v>
      </c>
      <c r="F54" s="290">
        <f>M_Glob!G134</f>
        <v>1.5</v>
      </c>
      <c r="G54" s="257"/>
      <c r="H54" s="237">
        <f>G54+(G54*BDI)</f>
        <v>0</v>
      </c>
      <c r="I54" s="238">
        <f t="shared" ref="I54:I56" si="6">H54*F54</f>
        <v>0</v>
      </c>
      <c r="M54" s="165"/>
    </row>
    <row r="55" spans="1:13" ht="15.95" customHeight="1" x14ac:dyDescent="0.25">
      <c r="A55" s="286" t="s">
        <v>316</v>
      </c>
      <c r="B55" s="287" t="s">
        <v>11</v>
      </c>
      <c r="C55" s="288">
        <v>93382</v>
      </c>
      <c r="D55" s="288" t="str">
        <f>VLOOKUP(CONCATENATE(B55&amp;"-"&amp;C55),[2]R_Preço!$A$8:$F$448,4,FALSE)</f>
        <v>Reaterro com material da escavação</v>
      </c>
      <c r="E55" s="289" t="str">
        <f>VLOOKUP(CONCATENATE(B55&amp;"-"&amp;C55),[2]R_Preço!$A$8:$F$448,5,FALSE)</f>
        <v>m³</v>
      </c>
      <c r="F55" s="290">
        <f>M_Glob!G139</f>
        <v>1.5</v>
      </c>
      <c r="G55" s="257"/>
      <c r="H55" s="237">
        <f>G55+(G55*BDI)</f>
        <v>0</v>
      </c>
      <c r="I55" s="238">
        <f t="shared" si="6"/>
        <v>0</v>
      </c>
      <c r="M55" s="165"/>
    </row>
    <row r="56" spans="1:13" ht="30" x14ac:dyDescent="0.25">
      <c r="A56" s="286" t="s">
        <v>345</v>
      </c>
      <c r="B56" s="287" t="s">
        <v>11</v>
      </c>
      <c r="C56" s="288">
        <v>97935</v>
      </c>
      <c r="D56" s="288" t="str">
        <f>VLOOKUP(CONCATENATE(B56&amp;"-"&amp;C56),[2]R_Preço!$A$8:$F$448,4,FALSE)</f>
        <v>Caixa de boca de lobo 60x120 (internamente) pre mold ou alvenaria , com tampa de concreto armado</v>
      </c>
      <c r="E56" s="289" t="str">
        <f>VLOOKUP(CONCATENATE(B56&amp;"-"&amp;C56),[2]R_Preço!$A$8:$F$448,5,FALSE)</f>
        <v>unid</v>
      </c>
      <c r="F56" s="290">
        <f>M_Glob!C144</f>
        <v>2</v>
      </c>
      <c r="G56" s="257"/>
      <c r="H56" s="237">
        <f>G56+(G56*BDI)</f>
        <v>0</v>
      </c>
      <c r="I56" s="238">
        <f t="shared" si="6"/>
        <v>0</v>
      </c>
      <c r="M56" s="165"/>
    </row>
    <row r="57" spans="1:13" ht="15.95" customHeight="1" thickBot="1" x14ac:dyDescent="0.3">
      <c r="A57" s="121"/>
      <c r="B57" s="155"/>
      <c r="C57" s="291"/>
      <c r="D57" s="154" t="s">
        <v>306</v>
      </c>
      <c r="E57" s="109"/>
      <c r="F57" s="155"/>
      <c r="G57" s="110"/>
      <c r="H57" s="110"/>
      <c r="I57" s="355">
        <f>SUM(I54:I56)</f>
        <v>0</v>
      </c>
      <c r="M57" s="165"/>
    </row>
    <row r="58" spans="1:13" ht="15.95" customHeight="1" thickBot="1" x14ac:dyDescent="0.3">
      <c r="A58" s="116"/>
      <c r="F58" s="97"/>
      <c r="G58" s="100"/>
      <c r="H58" s="100"/>
      <c r="I58" s="164"/>
      <c r="M58" s="165"/>
    </row>
    <row r="59" spans="1:13" ht="20.100000000000001" customHeight="1" x14ac:dyDescent="0.25">
      <c r="A59" s="341">
        <v>7</v>
      </c>
      <c r="B59" s="342"/>
      <c r="C59" s="342"/>
      <c r="D59" s="343" t="s">
        <v>273</v>
      </c>
      <c r="E59" s="344"/>
      <c r="F59" s="364"/>
      <c r="G59" s="346"/>
      <c r="H59" s="346"/>
      <c r="I59" s="347"/>
      <c r="M59" s="165"/>
    </row>
    <row r="60" spans="1:13" ht="20.100000000000001" customHeight="1" x14ac:dyDescent="0.25">
      <c r="A60" s="232" t="s">
        <v>342</v>
      </c>
      <c r="B60" s="233" t="s">
        <v>172</v>
      </c>
      <c r="C60" s="234">
        <v>3</v>
      </c>
      <c r="D60" s="234" t="str">
        <f>VLOOKUP(CONCATENATE(B60&amp;"-"&amp;C60),R_Preço!$A$8:$F$449,4,FALSE)</f>
        <v>Fornecimento e colocação de piso tátil-concreto pré-moldado - e= 2,5 cm(alerta)</v>
      </c>
      <c r="E60" s="235" t="str">
        <f>VLOOKUP(CONCATENATE(B60&amp;"-"&amp;C60),R_Preço!$A$8:$F$449,5,FALSE)</f>
        <v>m²</v>
      </c>
      <c r="F60" s="236">
        <f>M_Glob!I147</f>
        <v>2.1</v>
      </c>
      <c r="G60" s="257"/>
      <c r="H60" s="237">
        <f>G60+(G60*BDI)</f>
        <v>0</v>
      </c>
      <c r="I60" s="238">
        <f t="shared" ref="I60:I61" si="7">H60*F60</f>
        <v>0</v>
      </c>
      <c r="M60" s="165"/>
    </row>
    <row r="61" spans="1:13" ht="20.100000000000001" customHeight="1" x14ac:dyDescent="0.25">
      <c r="A61" s="232" t="s">
        <v>343</v>
      </c>
      <c r="B61" s="233" t="s">
        <v>11</v>
      </c>
      <c r="C61" s="234">
        <v>94962</v>
      </c>
      <c r="D61" s="234" t="str">
        <f>VLOOKUP(CONCATENATE(B61&amp;"-"&amp;C61),R_Preço!$A$8:$F$449,4,FALSE)</f>
        <v>Concreto magro</v>
      </c>
      <c r="E61" s="235" t="str">
        <f>VLOOKUP(CONCATENATE(B61&amp;"-"&amp;C61),R_Preço!$A$8:$F$449,5,FALSE)</f>
        <v>m³</v>
      </c>
      <c r="F61" s="236">
        <f>M_Glob!I153</f>
        <v>0.13</v>
      </c>
      <c r="G61" s="257"/>
      <c r="H61" s="237">
        <f>G61+(G61*BDI)</f>
        <v>0</v>
      </c>
      <c r="I61" s="238">
        <f t="shared" si="7"/>
        <v>0</v>
      </c>
      <c r="M61" s="165"/>
    </row>
    <row r="62" spans="1:13" ht="20.100000000000001" customHeight="1" thickBot="1" x14ac:dyDescent="0.3">
      <c r="A62" s="121"/>
      <c r="B62" s="155"/>
      <c r="C62" s="291"/>
      <c r="D62" s="154" t="s">
        <v>346</v>
      </c>
      <c r="E62" s="109"/>
      <c r="F62" s="155"/>
      <c r="G62" s="110"/>
      <c r="H62" s="110"/>
      <c r="I62" s="355">
        <f>SUM(I60:I61)</f>
        <v>0</v>
      </c>
      <c r="L62" s="165"/>
      <c r="M62" s="165"/>
    </row>
    <row r="63" spans="1:13" ht="15.95" customHeight="1" thickBot="1" x14ac:dyDescent="0.3">
      <c r="A63" s="116"/>
      <c r="F63" s="97"/>
      <c r="G63" s="100"/>
      <c r="H63" s="100"/>
      <c r="I63" s="164"/>
      <c r="M63" s="165"/>
    </row>
    <row r="64" spans="1:13" ht="20.100000000000001" customHeight="1" thickBot="1" x14ac:dyDescent="0.3">
      <c r="A64" s="107"/>
      <c r="B64" s="108"/>
      <c r="C64" s="108"/>
      <c r="D64" s="365" t="s">
        <v>162</v>
      </c>
      <c r="E64" s="366"/>
      <c r="F64" s="366"/>
      <c r="G64" s="366"/>
      <c r="H64" s="366"/>
      <c r="I64" s="367">
        <f>SUM(I12,I16,I34,I43,I51,I57,I62)</f>
        <v>0</v>
      </c>
      <c r="J64" s="173"/>
      <c r="L64" s="165"/>
      <c r="M64" s="165"/>
    </row>
    <row r="65" spans="2:13" ht="20.100000000000001" customHeight="1" x14ac:dyDescent="0.25">
      <c r="F65" s="97"/>
      <c r="G65" s="97"/>
      <c r="H65" s="88"/>
      <c r="I65" s="213"/>
      <c r="J65" s="173"/>
      <c r="L65" s="165"/>
    </row>
    <row r="66" spans="2:13" ht="20.100000000000001" customHeight="1" x14ac:dyDescent="0.25">
      <c r="F66" s="97"/>
      <c r="G66" s="97"/>
      <c r="H66" s="88"/>
      <c r="I66" s="173"/>
      <c r="J66" s="173"/>
      <c r="L66" s="165"/>
    </row>
    <row r="67" spans="2:13" ht="20.100000000000001" customHeight="1" x14ac:dyDescent="0.25">
      <c r="F67" s="97"/>
      <c r="G67" s="97"/>
      <c r="H67" s="88"/>
      <c r="I67" s="213"/>
      <c r="J67" s="173"/>
      <c r="L67" s="165"/>
    </row>
    <row r="68" spans="2:13" ht="20.100000000000001" customHeight="1" x14ac:dyDescent="0.25">
      <c r="B68" s="124"/>
      <c r="C68" s="114" t="s">
        <v>25</v>
      </c>
      <c r="D68" s="125"/>
      <c r="E68" s="125"/>
      <c r="F68" s="88"/>
      <c r="G68" s="88"/>
      <c r="H68" s="98"/>
      <c r="L68" s="165"/>
      <c r="M68" s="165"/>
    </row>
    <row r="69" spans="2:13" ht="20.100000000000001" customHeight="1" x14ac:dyDescent="0.25">
      <c r="C69" s="114" t="s">
        <v>26</v>
      </c>
      <c r="D69" s="161" t="s">
        <v>27</v>
      </c>
      <c r="E69" s="86"/>
      <c r="F69" s="416" t="s">
        <v>445</v>
      </c>
      <c r="G69" s="416"/>
      <c r="H69" s="416"/>
      <c r="L69" s="165"/>
      <c r="M69" s="165"/>
    </row>
    <row r="70" spans="2:13" ht="30" customHeight="1" x14ac:dyDescent="0.25">
      <c r="C70" s="114" t="s">
        <v>12</v>
      </c>
      <c r="D70" s="88" t="s">
        <v>330</v>
      </c>
      <c r="E70" s="88" t="s">
        <v>302</v>
      </c>
      <c r="F70" s="399" t="s">
        <v>446</v>
      </c>
      <c r="G70" s="399"/>
      <c r="H70" s="399"/>
    </row>
    <row r="71" spans="2:13" ht="30" customHeight="1" x14ac:dyDescent="0.25">
      <c r="C71" s="114" t="s">
        <v>11</v>
      </c>
      <c r="D71" s="88" t="s">
        <v>331</v>
      </c>
      <c r="E71" s="88"/>
    </row>
    <row r="72" spans="2:13" ht="20.100000000000001" customHeight="1" x14ac:dyDescent="0.25">
      <c r="C72" s="114"/>
      <c r="D72" s="88"/>
      <c r="E72" s="600"/>
      <c r="F72" s="600"/>
      <c r="G72" s="600"/>
      <c r="H72" s="601"/>
    </row>
    <row r="73" spans="2:13" ht="20.100000000000001" customHeight="1" x14ac:dyDescent="0.25">
      <c r="C73" s="114"/>
      <c r="D73" s="88"/>
      <c r="E73" s="600"/>
      <c r="F73" s="602"/>
      <c r="G73" s="602"/>
      <c r="H73" s="602"/>
    </row>
    <row r="74" spans="2:13" ht="20.100000000000001" customHeight="1" x14ac:dyDescent="0.25">
      <c r="D74" s="88"/>
      <c r="E74" s="88"/>
      <c r="F74" s="399"/>
      <c r="G74" s="399"/>
      <c r="H74" s="399"/>
    </row>
    <row r="80" spans="2:13" ht="20.100000000000001" customHeight="1" x14ac:dyDescent="0.25">
      <c r="M80" s="156"/>
    </row>
  </sheetData>
  <mergeCells count="12">
    <mergeCell ref="F70:H70"/>
    <mergeCell ref="F74:H74"/>
    <mergeCell ref="A1:I1"/>
    <mergeCell ref="A3:I3"/>
    <mergeCell ref="A4:I4"/>
    <mergeCell ref="B6:C6"/>
    <mergeCell ref="D6:D7"/>
    <mergeCell ref="E6:E7"/>
    <mergeCell ref="F6:F7"/>
    <mergeCell ref="G6:H6"/>
    <mergeCell ref="F69:H69"/>
    <mergeCell ref="F73:H73"/>
  </mergeCells>
  <pageMargins left="0.23622047244094491" right="0.23622047244094491" top="0.74803149606299213" bottom="0.74803149606299213" header="0.31496062992125984" footer="0.31496062992125984"/>
  <pageSetup paperSize="9" scale="69" fitToHeight="3" orientation="landscape" cellComments="asDisplayed" r:id="rId1"/>
  <rowBreaks count="2" manualBreakCount="2">
    <brk id="34" max="8" man="1"/>
    <brk id="57" max="8" man="1"/>
  </rowBreaks>
  <colBreaks count="1" manualBreakCount="1">
    <brk id="9" max="1048575" man="1"/>
  </colBreaks>
  <ignoredErrors>
    <ignoredError sqref="H31:I31" formula="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2"/>
  <dimension ref="A1:N64"/>
  <sheetViews>
    <sheetView zoomScale="130" zoomScaleNormal="130" zoomScaleSheetLayoutView="130" zoomScalePageLayoutView="40" workbookViewId="0">
      <selection activeCell="F19" sqref="F19:G23"/>
    </sheetView>
  </sheetViews>
  <sheetFormatPr defaultRowHeight="12.75" x14ac:dyDescent="0.2"/>
  <cols>
    <col min="1" max="1" width="2.7109375" style="18" customWidth="1"/>
    <col min="2" max="3" width="6" style="18" customWidth="1"/>
    <col min="4" max="4" width="34.7109375" style="18" customWidth="1"/>
    <col min="5" max="5" width="11.28515625" style="18" customWidth="1"/>
    <col min="6" max="6" width="11" style="19" customWidth="1"/>
    <col min="7" max="7" width="9.140625" style="18"/>
    <col min="8" max="8" width="1.5703125" style="18" customWidth="1"/>
    <col min="9" max="14" width="0" style="18" hidden="1" customWidth="1"/>
    <col min="15" max="256" width="9.140625" style="18"/>
    <col min="257" max="257" width="2.7109375" style="18" customWidth="1"/>
    <col min="258" max="259" width="6" style="18" customWidth="1"/>
    <col min="260" max="260" width="34.7109375" style="18" customWidth="1"/>
    <col min="261" max="261" width="11.28515625" style="18" customWidth="1"/>
    <col min="262" max="262" width="11" style="18" customWidth="1"/>
    <col min="263" max="263" width="9.140625" style="18"/>
    <col min="264" max="264" width="1.5703125" style="18" customWidth="1"/>
    <col min="265" max="270" width="0" style="18" hidden="1" customWidth="1"/>
    <col min="271" max="512" width="9.140625" style="18"/>
    <col min="513" max="513" width="2.7109375" style="18" customWidth="1"/>
    <col min="514" max="515" width="6" style="18" customWidth="1"/>
    <col min="516" max="516" width="34.7109375" style="18" customWidth="1"/>
    <col min="517" max="517" width="11.28515625" style="18" customWidth="1"/>
    <col min="518" max="518" width="11" style="18" customWidth="1"/>
    <col min="519" max="519" width="9.140625" style="18"/>
    <col min="520" max="520" width="1.5703125" style="18" customWidth="1"/>
    <col min="521" max="526" width="0" style="18" hidden="1" customWidth="1"/>
    <col min="527" max="768" width="9.140625" style="18"/>
    <col min="769" max="769" width="2.7109375" style="18" customWidth="1"/>
    <col min="770" max="771" width="6" style="18" customWidth="1"/>
    <col min="772" max="772" width="34.7109375" style="18" customWidth="1"/>
    <col min="773" max="773" width="11.28515625" style="18" customWidth="1"/>
    <col min="774" max="774" width="11" style="18" customWidth="1"/>
    <col min="775" max="775" width="9.140625" style="18"/>
    <col min="776" max="776" width="1.5703125" style="18" customWidth="1"/>
    <col min="777" max="782" width="0" style="18" hidden="1" customWidth="1"/>
    <col min="783" max="1024" width="9.140625" style="18"/>
    <col min="1025" max="1025" width="2.7109375" style="18" customWidth="1"/>
    <col min="1026" max="1027" width="6" style="18" customWidth="1"/>
    <col min="1028" max="1028" width="34.7109375" style="18" customWidth="1"/>
    <col min="1029" max="1029" width="11.28515625" style="18" customWidth="1"/>
    <col min="1030" max="1030" width="11" style="18" customWidth="1"/>
    <col min="1031" max="1031" width="9.140625" style="18"/>
    <col min="1032" max="1032" width="1.5703125" style="18" customWidth="1"/>
    <col min="1033" max="1038" width="0" style="18" hidden="1" customWidth="1"/>
    <col min="1039" max="1280" width="9.140625" style="18"/>
    <col min="1281" max="1281" width="2.7109375" style="18" customWidth="1"/>
    <col min="1282" max="1283" width="6" style="18" customWidth="1"/>
    <col min="1284" max="1284" width="34.7109375" style="18" customWidth="1"/>
    <col min="1285" max="1285" width="11.28515625" style="18" customWidth="1"/>
    <col min="1286" max="1286" width="11" style="18" customWidth="1"/>
    <col min="1287" max="1287" width="9.140625" style="18"/>
    <col min="1288" max="1288" width="1.5703125" style="18" customWidth="1"/>
    <col min="1289" max="1294" width="0" style="18" hidden="1" customWidth="1"/>
    <col min="1295" max="1536" width="9.140625" style="18"/>
    <col min="1537" max="1537" width="2.7109375" style="18" customWidth="1"/>
    <col min="1538" max="1539" width="6" style="18" customWidth="1"/>
    <col min="1540" max="1540" width="34.7109375" style="18" customWidth="1"/>
    <col min="1541" max="1541" width="11.28515625" style="18" customWidth="1"/>
    <col min="1542" max="1542" width="11" style="18" customWidth="1"/>
    <col min="1543" max="1543" width="9.140625" style="18"/>
    <col min="1544" max="1544" width="1.5703125" style="18" customWidth="1"/>
    <col min="1545" max="1550" width="0" style="18" hidden="1" customWidth="1"/>
    <col min="1551" max="1792" width="9.140625" style="18"/>
    <col min="1793" max="1793" width="2.7109375" style="18" customWidth="1"/>
    <col min="1794" max="1795" width="6" style="18" customWidth="1"/>
    <col min="1796" max="1796" width="34.7109375" style="18" customWidth="1"/>
    <col min="1797" max="1797" width="11.28515625" style="18" customWidth="1"/>
    <col min="1798" max="1798" width="11" style="18" customWidth="1"/>
    <col min="1799" max="1799" width="9.140625" style="18"/>
    <col min="1800" max="1800" width="1.5703125" style="18" customWidth="1"/>
    <col min="1801" max="1806" width="0" style="18" hidden="1" customWidth="1"/>
    <col min="1807" max="2048" width="9.140625" style="18"/>
    <col min="2049" max="2049" width="2.7109375" style="18" customWidth="1"/>
    <col min="2050" max="2051" width="6" style="18" customWidth="1"/>
    <col min="2052" max="2052" width="34.7109375" style="18" customWidth="1"/>
    <col min="2053" max="2053" width="11.28515625" style="18" customWidth="1"/>
    <col min="2054" max="2054" width="11" style="18" customWidth="1"/>
    <col min="2055" max="2055" width="9.140625" style="18"/>
    <col min="2056" max="2056" width="1.5703125" style="18" customWidth="1"/>
    <col min="2057" max="2062" width="0" style="18" hidden="1" customWidth="1"/>
    <col min="2063" max="2304" width="9.140625" style="18"/>
    <col min="2305" max="2305" width="2.7109375" style="18" customWidth="1"/>
    <col min="2306" max="2307" width="6" style="18" customWidth="1"/>
    <col min="2308" max="2308" width="34.7109375" style="18" customWidth="1"/>
    <col min="2309" max="2309" width="11.28515625" style="18" customWidth="1"/>
    <col min="2310" max="2310" width="11" style="18" customWidth="1"/>
    <col min="2311" max="2311" width="9.140625" style="18"/>
    <col min="2312" max="2312" width="1.5703125" style="18" customWidth="1"/>
    <col min="2313" max="2318" width="0" style="18" hidden="1" customWidth="1"/>
    <col min="2319" max="2560" width="9.140625" style="18"/>
    <col min="2561" max="2561" width="2.7109375" style="18" customWidth="1"/>
    <col min="2562" max="2563" width="6" style="18" customWidth="1"/>
    <col min="2564" max="2564" width="34.7109375" style="18" customWidth="1"/>
    <col min="2565" max="2565" width="11.28515625" style="18" customWidth="1"/>
    <col min="2566" max="2566" width="11" style="18" customWidth="1"/>
    <col min="2567" max="2567" width="9.140625" style="18"/>
    <col min="2568" max="2568" width="1.5703125" style="18" customWidth="1"/>
    <col min="2569" max="2574" width="0" style="18" hidden="1" customWidth="1"/>
    <col min="2575" max="2816" width="9.140625" style="18"/>
    <col min="2817" max="2817" width="2.7109375" style="18" customWidth="1"/>
    <col min="2818" max="2819" width="6" style="18" customWidth="1"/>
    <col min="2820" max="2820" width="34.7109375" style="18" customWidth="1"/>
    <col min="2821" max="2821" width="11.28515625" style="18" customWidth="1"/>
    <col min="2822" max="2822" width="11" style="18" customWidth="1"/>
    <col min="2823" max="2823" width="9.140625" style="18"/>
    <col min="2824" max="2824" width="1.5703125" style="18" customWidth="1"/>
    <col min="2825" max="2830" width="0" style="18" hidden="1" customWidth="1"/>
    <col min="2831" max="3072" width="9.140625" style="18"/>
    <col min="3073" max="3073" width="2.7109375" style="18" customWidth="1"/>
    <col min="3074" max="3075" width="6" style="18" customWidth="1"/>
    <col min="3076" max="3076" width="34.7109375" style="18" customWidth="1"/>
    <col min="3077" max="3077" width="11.28515625" style="18" customWidth="1"/>
    <col min="3078" max="3078" width="11" style="18" customWidth="1"/>
    <col min="3079" max="3079" width="9.140625" style="18"/>
    <col min="3080" max="3080" width="1.5703125" style="18" customWidth="1"/>
    <col min="3081" max="3086" width="0" style="18" hidden="1" customWidth="1"/>
    <col min="3087" max="3328" width="9.140625" style="18"/>
    <col min="3329" max="3329" width="2.7109375" style="18" customWidth="1"/>
    <col min="3330" max="3331" width="6" style="18" customWidth="1"/>
    <col min="3332" max="3332" width="34.7109375" style="18" customWidth="1"/>
    <col min="3333" max="3333" width="11.28515625" style="18" customWidth="1"/>
    <col min="3334" max="3334" width="11" style="18" customWidth="1"/>
    <col min="3335" max="3335" width="9.140625" style="18"/>
    <col min="3336" max="3336" width="1.5703125" style="18" customWidth="1"/>
    <col min="3337" max="3342" width="0" style="18" hidden="1" customWidth="1"/>
    <col min="3343" max="3584" width="9.140625" style="18"/>
    <col min="3585" max="3585" width="2.7109375" style="18" customWidth="1"/>
    <col min="3586" max="3587" width="6" style="18" customWidth="1"/>
    <col min="3588" max="3588" width="34.7109375" style="18" customWidth="1"/>
    <col min="3589" max="3589" width="11.28515625" style="18" customWidth="1"/>
    <col min="3590" max="3590" width="11" style="18" customWidth="1"/>
    <col min="3591" max="3591" width="9.140625" style="18"/>
    <col min="3592" max="3592" width="1.5703125" style="18" customWidth="1"/>
    <col min="3593" max="3598" width="0" style="18" hidden="1" customWidth="1"/>
    <col min="3599" max="3840" width="9.140625" style="18"/>
    <col min="3841" max="3841" width="2.7109375" style="18" customWidth="1"/>
    <col min="3842" max="3843" width="6" style="18" customWidth="1"/>
    <col min="3844" max="3844" width="34.7109375" style="18" customWidth="1"/>
    <col min="3845" max="3845" width="11.28515625" style="18" customWidth="1"/>
    <col min="3846" max="3846" width="11" style="18" customWidth="1"/>
    <col min="3847" max="3847" width="9.140625" style="18"/>
    <col min="3848" max="3848" width="1.5703125" style="18" customWidth="1"/>
    <col min="3849" max="3854" width="0" style="18" hidden="1" customWidth="1"/>
    <col min="3855" max="4096" width="9.140625" style="18"/>
    <col min="4097" max="4097" width="2.7109375" style="18" customWidth="1"/>
    <col min="4098" max="4099" width="6" style="18" customWidth="1"/>
    <col min="4100" max="4100" width="34.7109375" style="18" customWidth="1"/>
    <col min="4101" max="4101" width="11.28515625" style="18" customWidth="1"/>
    <col min="4102" max="4102" width="11" style="18" customWidth="1"/>
    <col min="4103" max="4103" width="9.140625" style="18"/>
    <col min="4104" max="4104" width="1.5703125" style="18" customWidth="1"/>
    <col min="4105" max="4110" width="0" style="18" hidden="1" customWidth="1"/>
    <col min="4111" max="4352" width="9.140625" style="18"/>
    <col min="4353" max="4353" width="2.7109375" style="18" customWidth="1"/>
    <col min="4354" max="4355" width="6" style="18" customWidth="1"/>
    <col min="4356" max="4356" width="34.7109375" style="18" customWidth="1"/>
    <col min="4357" max="4357" width="11.28515625" style="18" customWidth="1"/>
    <col min="4358" max="4358" width="11" style="18" customWidth="1"/>
    <col min="4359" max="4359" width="9.140625" style="18"/>
    <col min="4360" max="4360" width="1.5703125" style="18" customWidth="1"/>
    <col min="4361" max="4366" width="0" style="18" hidden="1" customWidth="1"/>
    <col min="4367" max="4608" width="9.140625" style="18"/>
    <col min="4609" max="4609" width="2.7109375" style="18" customWidth="1"/>
    <col min="4610" max="4611" width="6" style="18" customWidth="1"/>
    <col min="4612" max="4612" width="34.7109375" style="18" customWidth="1"/>
    <col min="4613" max="4613" width="11.28515625" style="18" customWidth="1"/>
    <col min="4614" max="4614" width="11" style="18" customWidth="1"/>
    <col min="4615" max="4615" width="9.140625" style="18"/>
    <col min="4616" max="4616" width="1.5703125" style="18" customWidth="1"/>
    <col min="4617" max="4622" width="0" style="18" hidden="1" customWidth="1"/>
    <col min="4623" max="4864" width="9.140625" style="18"/>
    <col min="4865" max="4865" width="2.7109375" style="18" customWidth="1"/>
    <col min="4866" max="4867" width="6" style="18" customWidth="1"/>
    <col min="4868" max="4868" width="34.7109375" style="18" customWidth="1"/>
    <col min="4869" max="4869" width="11.28515625" style="18" customWidth="1"/>
    <col min="4870" max="4870" width="11" style="18" customWidth="1"/>
    <col min="4871" max="4871" width="9.140625" style="18"/>
    <col min="4872" max="4872" width="1.5703125" style="18" customWidth="1"/>
    <col min="4873" max="4878" width="0" style="18" hidden="1" customWidth="1"/>
    <col min="4879" max="5120" width="9.140625" style="18"/>
    <col min="5121" max="5121" width="2.7109375" style="18" customWidth="1"/>
    <col min="5122" max="5123" width="6" style="18" customWidth="1"/>
    <col min="5124" max="5124" width="34.7109375" style="18" customWidth="1"/>
    <col min="5125" max="5125" width="11.28515625" style="18" customWidth="1"/>
    <col min="5126" max="5126" width="11" style="18" customWidth="1"/>
    <col min="5127" max="5127" width="9.140625" style="18"/>
    <col min="5128" max="5128" width="1.5703125" style="18" customWidth="1"/>
    <col min="5129" max="5134" width="0" style="18" hidden="1" customWidth="1"/>
    <col min="5135" max="5376" width="9.140625" style="18"/>
    <col min="5377" max="5377" width="2.7109375" style="18" customWidth="1"/>
    <col min="5378" max="5379" width="6" style="18" customWidth="1"/>
    <col min="5380" max="5380" width="34.7109375" style="18" customWidth="1"/>
    <col min="5381" max="5381" width="11.28515625" style="18" customWidth="1"/>
    <col min="5382" max="5382" width="11" style="18" customWidth="1"/>
    <col min="5383" max="5383" width="9.140625" style="18"/>
    <col min="5384" max="5384" width="1.5703125" style="18" customWidth="1"/>
    <col min="5385" max="5390" width="0" style="18" hidden="1" customWidth="1"/>
    <col min="5391" max="5632" width="9.140625" style="18"/>
    <col min="5633" max="5633" width="2.7109375" style="18" customWidth="1"/>
    <col min="5634" max="5635" width="6" style="18" customWidth="1"/>
    <col min="5636" max="5636" width="34.7109375" style="18" customWidth="1"/>
    <col min="5637" max="5637" width="11.28515625" style="18" customWidth="1"/>
    <col min="5638" max="5638" width="11" style="18" customWidth="1"/>
    <col min="5639" max="5639" width="9.140625" style="18"/>
    <col min="5640" max="5640" width="1.5703125" style="18" customWidth="1"/>
    <col min="5641" max="5646" width="0" style="18" hidden="1" customWidth="1"/>
    <col min="5647" max="5888" width="9.140625" style="18"/>
    <col min="5889" max="5889" width="2.7109375" style="18" customWidth="1"/>
    <col min="5890" max="5891" width="6" style="18" customWidth="1"/>
    <col min="5892" max="5892" width="34.7109375" style="18" customWidth="1"/>
    <col min="5893" max="5893" width="11.28515625" style="18" customWidth="1"/>
    <col min="5894" max="5894" width="11" style="18" customWidth="1"/>
    <col min="5895" max="5895" width="9.140625" style="18"/>
    <col min="5896" max="5896" width="1.5703125" style="18" customWidth="1"/>
    <col min="5897" max="5902" width="0" style="18" hidden="1" customWidth="1"/>
    <col min="5903" max="6144" width="9.140625" style="18"/>
    <col min="6145" max="6145" width="2.7109375" style="18" customWidth="1"/>
    <col min="6146" max="6147" width="6" style="18" customWidth="1"/>
    <col min="6148" max="6148" width="34.7109375" style="18" customWidth="1"/>
    <col min="6149" max="6149" width="11.28515625" style="18" customWidth="1"/>
    <col min="6150" max="6150" width="11" style="18" customWidth="1"/>
    <col min="6151" max="6151" width="9.140625" style="18"/>
    <col min="6152" max="6152" width="1.5703125" style="18" customWidth="1"/>
    <col min="6153" max="6158" width="0" style="18" hidden="1" customWidth="1"/>
    <col min="6159" max="6400" width="9.140625" style="18"/>
    <col min="6401" max="6401" width="2.7109375" style="18" customWidth="1"/>
    <col min="6402" max="6403" width="6" style="18" customWidth="1"/>
    <col min="6404" max="6404" width="34.7109375" style="18" customWidth="1"/>
    <col min="6405" max="6405" width="11.28515625" style="18" customWidth="1"/>
    <col min="6406" max="6406" width="11" style="18" customWidth="1"/>
    <col min="6407" max="6407" width="9.140625" style="18"/>
    <col min="6408" max="6408" width="1.5703125" style="18" customWidth="1"/>
    <col min="6409" max="6414" width="0" style="18" hidden="1" customWidth="1"/>
    <col min="6415" max="6656" width="9.140625" style="18"/>
    <col min="6657" max="6657" width="2.7109375" style="18" customWidth="1"/>
    <col min="6658" max="6659" width="6" style="18" customWidth="1"/>
    <col min="6660" max="6660" width="34.7109375" style="18" customWidth="1"/>
    <col min="6661" max="6661" width="11.28515625" style="18" customWidth="1"/>
    <col min="6662" max="6662" width="11" style="18" customWidth="1"/>
    <col min="6663" max="6663" width="9.140625" style="18"/>
    <col min="6664" max="6664" width="1.5703125" style="18" customWidth="1"/>
    <col min="6665" max="6670" width="0" style="18" hidden="1" customWidth="1"/>
    <col min="6671" max="6912" width="9.140625" style="18"/>
    <col min="6913" max="6913" width="2.7109375" style="18" customWidth="1"/>
    <col min="6914" max="6915" width="6" style="18" customWidth="1"/>
    <col min="6916" max="6916" width="34.7109375" style="18" customWidth="1"/>
    <col min="6917" max="6917" width="11.28515625" style="18" customWidth="1"/>
    <col min="6918" max="6918" width="11" style="18" customWidth="1"/>
    <col min="6919" max="6919" width="9.140625" style="18"/>
    <col min="6920" max="6920" width="1.5703125" style="18" customWidth="1"/>
    <col min="6921" max="6926" width="0" style="18" hidden="1" customWidth="1"/>
    <col min="6927" max="7168" width="9.140625" style="18"/>
    <col min="7169" max="7169" width="2.7109375" style="18" customWidth="1"/>
    <col min="7170" max="7171" width="6" style="18" customWidth="1"/>
    <col min="7172" max="7172" width="34.7109375" style="18" customWidth="1"/>
    <col min="7173" max="7173" width="11.28515625" style="18" customWidth="1"/>
    <col min="7174" max="7174" width="11" style="18" customWidth="1"/>
    <col min="7175" max="7175" width="9.140625" style="18"/>
    <col min="7176" max="7176" width="1.5703125" style="18" customWidth="1"/>
    <col min="7177" max="7182" width="0" style="18" hidden="1" customWidth="1"/>
    <col min="7183" max="7424" width="9.140625" style="18"/>
    <col min="7425" max="7425" width="2.7109375" style="18" customWidth="1"/>
    <col min="7426" max="7427" width="6" style="18" customWidth="1"/>
    <col min="7428" max="7428" width="34.7109375" style="18" customWidth="1"/>
    <col min="7429" max="7429" width="11.28515625" style="18" customWidth="1"/>
    <col min="7430" max="7430" width="11" style="18" customWidth="1"/>
    <col min="7431" max="7431" width="9.140625" style="18"/>
    <col min="7432" max="7432" width="1.5703125" style="18" customWidth="1"/>
    <col min="7433" max="7438" width="0" style="18" hidden="1" customWidth="1"/>
    <col min="7439" max="7680" width="9.140625" style="18"/>
    <col min="7681" max="7681" width="2.7109375" style="18" customWidth="1"/>
    <col min="7682" max="7683" width="6" style="18" customWidth="1"/>
    <col min="7684" max="7684" width="34.7109375" style="18" customWidth="1"/>
    <col min="7685" max="7685" width="11.28515625" style="18" customWidth="1"/>
    <col min="7686" max="7686" width="11" style="18" customWidth="1"/>
    <col min="7687" max="7687" width="9.140625" style="18"/>
    <col min="7688" max="7688" width="1.5703125" style="18" customWidth="1"/>
    <col min="7689" max="7694" width="0" style="18" hidden="1" customWidth="1"/>
    <col min="7695" max="7936" width="9.140625" style="18"/>
    <col min="7937" max="7937" width="2.7109375" style="18" customWidth="1"/>
    <col min="7938" max="7939" width="6" style="18" customWidth="1"/>
    <col min="7940" max="7940" width="34.7109375" style="18" customWidth="1"/>
    <col min="7941" max="7941" width="11.28515625" style="18" customWidth="1"/>
    <col min="7942" max="7942" width="11" style="18" customWidth="1"/>
    <col min="7943" max="7943" width="9.140625" style="18"/>
    <col min="7944" max="7944" width="1.5703125" style="18" customWidth="1"/>
    <col min="7945" max="7950" width="0" style="18" hidden="1" customWidth="1"/>
    <col min="7951" max="8192" width="9.140625" style="18"/>
    <col min="8193" max="8193" width="2.7109375" style="18" customWidth="1"/>
    <col min="8194" max="8195" width="6" style="18" customWidth="1"/>
    <col min="8196" max="8196" width="34.7109375" style="18" customWidth="1"/>
    <col min="8197" max="8197" width="11.28515625" style="18" customWidth="1"/>
    <col min="8198" max="8198" width="11" style="18" customWidth="1"/>
    <col min="8199" max="8199" width="9.140625" style="18"/>
    <col min="8200" max="8200" width="1.5703125" style="18" customWidth="1"/>
    <col min="8201" max="8206" width="0" style="18" hidden="1" customWidth="1"/>
    <col min="8207" max="8448" width="9.140625" style="18"/>
    <col min="8449" max="8449" width="2.7109375" style="18" customWidth="1"/>
    <col min="8450" max="8451" width="6" style="18" customWidth="1"/>
    <col min="8452" max="8452" width="34.7109375" style="18" customWidth="1"/>
    <col min="8453" max="8453" width="11.28515625" style="18" customWidth="1"/>
    <col min="8454" max="8454" width="11" style="18" customWidth="1"/>
    <col min="8455" max="8455" width="9.140625" style="18"/>
    <col min="8456" max="8456" width="1.5703125" style="18" customWidth="1"/>
    <col min="8457" max="8462" width="0" style="18" hidden="1" customWidth="1"/>
    <col min="8463" max="8704" width="9.140625" style="18"/>
    <col min="8705" max="8705" width="2.7109375" style="18" customWidth="1"/>
    <col min="8706" max="8707" width="6" style="18" customWidth="1"/>
    <col min="8708" max="8708" width="34.7109375" style="18" customWidth="1"/>
    <col min="8709" max="8709" width="11.28515625" style="18" customWidth="1"/>
    <col min="8710" max="8710" width="11" style="18" customWidth="1"/>
    <col min="8711" max="8711" width="9.140625" style="18"/>
    <col min="8712" max="8712" width="1.5703125" style="18" customWidth="1"/>
    <col min="8713" max="8718" width="0" style="18" hidden="1" customWidth="1"/>
    <col min="8719" max="8960" width="9.140625" style="18"/>
    <col min="8961" max="8961" width="2.7109375" style="18" customWidth="1"/>
    <col min="8962" max="8963" width="6" style="18" customWidth="1"/>
    <col min="8964" max="8964" width="34.7109375" style="18" customWidth="1"/>
    <col min="8965" max="8965" width="11.28515625" style="18" customWidth="1"/>
    <col min="8966" max="8966" width="11" style="18" customWidth="1"/>
    <col min="8967" max="8967" width="9.140625" style="18"/>
    <col min="8968" max="8968" width="1.5703125" style="18" customWidth="1"/>
    <col min="8969" max="8974" width="0" style="18" hidden="1" customWidth="1"/>
    <col min="8975" max="9216" width="9.140625" style="18"/>
    <col min="9217" max="9217" width="2.7109375" style="18" customWidth="1"/>
    <col min="9218" max="9219" width="6" style="18" customWidth="1"/>
    <col min="9220" max="9220" width="34.7109375" style="18" customWidth="1"/>
    <col min="9221" max="9221" width="11.28515625" style="18" customWidth="1"/>
    <col min="9222" max="9222" width="11" style="18" customWidth="1"/>
    <col min="9223" max="9223" width="9.140625" style="18"/>
    <col min="9224" max="9224" width="1.5703125" style="18" customWidth="1"/>
    <col min="9225" max="9230" width="0" style="18" hidden="1" customWidth="1"/>
    <col min="9231" max="9472" width="9.140625" style="18"/>
    <col min="9473" max="9473" width="2.7109375" style="18" customWidth="1"/>
    <col min="9474" max="9475" width="6" style="18" customWidth="1"/>
    <col min="9476" max="9476" width="34.7109375" style="18" customWidth="1"/>
    <col min="9477" max="9477" width="11.28515625" style="18" customWidth="1"/>
    <col min="9478" max="9478" width="11" style="18" customWidth="1"/>
    <col min="9479" max="9479" width="9.140625" style="18"/>
    <col min="9480" max="9480" width="1.5703125" style="18" customWidth="1"/>
    <col min="9481" max="9486" width="0" style="18" hidden="1" customWidth="1"/>
    <col min="9487" max="9728" width="9.140625" style="18"/>
    <col min="9729" max="9729" width="2.7109375" style="18" customWidth="1"/>
    <col min="9730" max="9731" width="6" style="18" customWidth="1"/>
    <col min="9732" max="9732" width="34.7109375" style="18" customWidth="1"/>
    <col min="9733" max="9733" width="11.28515625" style="18" customWidth="1"/>
    <col min="9734" max="9734" width="11" style="18" customWidth="1"/>
    <col min="9735" max="9735" width="9.140625" style="18"/>
    <col min="9736" max="9736" width="1.5703125" style="18" customWidth="1"/>
    <col min="9737" max="9742" width="0" style="18" hidden="1" customWidth="1"/>
    <col min="9743" max="9984" width="9.140625" style="18"/>
    <col min="9985" max="9985" width="2.7109375" style="18" customWidth="1"/>
    <col min="9986" max="9987" width="6" style="18" customWidth="1"/>
    <col min="9988" max="9988" width="34.7109375" style="18" customWidth="1"/>
    <col min="9989" max="9989" width="11.28515625" style="18" customWidth="1"/>
    <col min="9990" max="9990" width="11" style="18" customWidth="1"/>
    <col min="9991" max="9991" width="9.140625" style="18"/>
    <col min="9992" max="9992" width="1.5703125" style="18" customWidth="1"/>
    <col min="9993" max="9998" width="0" style="18" hidden="1" customWidth="1"/>
    <col min="9999" max="10240" width="9.140625" style="18"/>
    <col min="10241" max="10241" width="2.7109375" style="18" customWidth="1"/>
    <col min="10242" max="10243" width="6" style="18" customWidth="1"/>
    <col min="10244" max="10244" width="34.7109375" style="18" customWidth="1"/>
    <col min="10245" max="10245" width="11.28515625" style="18" customWidth="1"/>
    <col min="10246" max="10246" width="11" style="18" customWidth="1"/>
    <col min="10247" max="10247" width="9.140625" style="18"/>
    <col min="10248" max="10248" width="1.5703125" style="18" customWidth="1"/>
    <col min="10249" max="10254" width="0" style="18" hidden="1" customWidth="1"/>
    <col min="10255" max="10496" width="9.140625" style="18"/>
    <col min="10497" max="10497" width="2.7109375" style="18" customWidth="1"/>
    <col min="10498" max="10499" width="6" style="18" customWidth="1"/>
    <col min="10500" max="10500" width="34.7109375" style="18" customWidth="1"/>
    <col min="10501" max="10501" width="11.28515625" style="18" customWidth="1"/>
    <col min="10502" max="10502" width="11" style="18" customWidth="1"/>
    <col min="10503" max="10503" width="9.140625" style="18"/>
    <col min="10504" max="10504" width="1.5703125" style="18" customWidth="1"/>
    <col min="10505" max="10510" width="0" style="18" hidden="1" customWidth="1"/>
    <col min="10511" max="10752" width="9.140625" style="18"/>
    <col min="10753" max="10753" width="2.7109375" style="18" customWidth="1"/>
    <col min="10754" max="10755" width="6" style="18" customWidth="1"/>
    <col min="10756" max="10756" width="34.7109375" style="18" customWidth="1"/>
    <col min="10757" max="10757" width="11.28515625" style="18" customWidth="1"/>
    <col min="10758" max="10758" width="11" style="18" customWidth="1"/>
    <col min="10759" max="10759" width="9.140625" style="18"/>
    <col min="10760" max="10760" width="1.5703125" style="18" customWidth="1"/>
    <col min="10761" max="10766" width="0" style="18" hidden="1" customWidth="1"/>
    <col min="10767" max="11008" width="9.140625" style="18"/>
    <col min="11009" max="11009" width="2.7109375" style="18" customWidth="1"/>
    <col min="11010" max="11011" width="6" style="18" customWidth="1"/>
    <col min="11012" max="11012" width="34.7109375" style="18" customWidth="1"/>
    <col min="11013" max="11013" width="11.28515625" style="18" customWidth="1"/>
    <col min="11014" max="11014" width="11" style="18" customWidth="1"/>
    <col min="11015" max="11015" width="9.140625" style="18"/>
    <col min="11016" max="11016" width="1.5703125" style="18" customWidth="1"/>
    <col min="11017" max="11022" width="0" style="18" hidden="1" customWidth="1"/>
    <col min="11023" max="11264" width="9.140625" style="18"/>
    <col min="11265" max="11265" width="2.7109375" style="18" customWidth="1"/>
    <col min="11266" max="11267" width="6" style="18" customWidth="1"/>
    <col min="11268" max="11268" width="34.7109375" style="18" customWidth="1"/>
    <col min="11269" max="11269" width="11.28515625" style="18" customWidth="1"/>
    <col min="11270" max="11270" width="11" style="18" customWidth="1"/>
    <col min="11271" max="11271" width="9.140625" style="18"/>
    <col min="11272" max="11272" width="1.5703125" style="18" customWidth="1"/>
    <col min="11273" max="11278" width="0" style="18" hidden="1" customWidth="1"/>
    <col min="11279" max="11520" width="9.140625" style="18"/>
    <col min="11521" max="11521" width="2.7109375" style="18" customWidth="1"/>
    <col min="11522" max="11523" width="6" style="18" customWidth="1"/>
    <col min="11524" max="11524" width="34.7109375" style="18" customWidth="1"/>
    <col min="11525" max="11525" width="11.28515625" style="18" customWidth="1"/>
    <col min="11526" max="11526" width="11" style="18" customWidth="1"/>
    <col min="11527" max="11527" width="9.140625" style="18"/>
    <col min="11528" max="11528" width="1.5703125" style="18" customWidth="1"/>
    <col min="11529" max="11534" width="0" style="18" hidden="1" customWidth="1"/>
    <col min="11535" max="11776" width="9.140625" style="18"/>
    <col min="11777" max="11777" width="2.7109375" style="18" customWidth="1"/>
    <col min="11778" max="11779" width="6" style="18" customWidth="1"/>
    <col min="11780" max="11780" width="34.7109375" style="18" customWidth="1"/>
    <col min="11781" max="11781" width="11.28515625" style="18" customWidth="1"/>
    <col min="11782" max="11782" width="11" style="18" customWidth="1"/>
    <col min="11783" max="11783" width="9.140625" style="18"/>
    <col min="11784" max="11784" width="1.5703125" style="18" customWidth="1"/>
    <col min="11785" max="11790" width="0" style="18" hidden="1" customWidth="1"/>
    <col min="11791" max="12032" width="9.140625" style="18"/>
    <col min="12033" max="12033" width="2.7109375" style="18" customWidth="1"/>
    <col min="12034" max="12035" width="6" style="18" customWidth="1"/>
    <col min="12036" max="12036" width="34.7109375" style="18" customWidth="1"/>
    <col min="12037" max="12037" width="11.28515625" style="18" customWidth="1"/>
    <col min="12038" max="12038" width="11" style="18" customWidth="1"/>
    <col min="12039" max="12039" width="9.140625" style="18"/>
    <col min="12040" max="12040" width="1.5703125" style="18" customWidth="1"/>
    <col min="12041" max="12046" width="0" style="18" hidden="1" customWidth="1"/>
    <col min="12047" max="12288" width="9.140625" style="18"/>
    <col min="12289" max="12289" width="2.7109375" style="18" customWidth="1"/>
    <col min="12290" max="12291" width="6" style="18" customWidth="1"/>
    <col min="12292" max="12292" width="34.7109375" style="18" customWidth="1"/>
    <col min="12293" max="12293" width="11.28515625" style="18" customWidth="1"/>
    <col min="12294" max="12294" width="11" style="18" customWidth="1"/>
    <col min="12295" max="12295" width="9.140625" style="18"/>
    <col min="12296" max="12296" width="1.5703125" style="18" customWidth="1"/>
    <col min="12297" max="12302" width="0" style="18" hidden="1" customWidth="1"/>
    <col min="12303" max="12544" width="9.140625" style="18"/>
    <col min="12545" max="12545" width="2.7109375" style="18" customWidth="1"/>
    <col min="12546" max="12547" width="6" style="18" customWidth="1"/>
    <col min="12548" max="12548" width="34.7109375" style="18" customWidth="1"/>
    <col min="12549" max="12549" width="11.28515625" style="18" customWidth="1"/>
    <col min="12550" max="12550" width="11" style="18" customWidth="1"/>
    <col min="12551" max="12551" width="9.140625" style="18"/>
    <col min="12552" max="12552" width="1.5703125" style="18" customWidth="1"/>
    <col min="12553" max="12558" width="0" style="18" hidden="1" customWidth="1"/>
    <col min="12559" max="12800" width="9.140625" style="18"/>
    <col min="12801" max="12801" width="2.7109375" style="18" customWidth="1"/>
    <col min="12802" max="12803" width="6" style="18" customWidth="1"/>
    <col min="12804" max="12804" width="34.7109375" style="18" customWidth="1"/>
    <col min="12805" max="12805" width="11.28515625" style="18" customWidth="1"/>
    <col min="12806" max="12806" width="11" style="18" customWidth="1"/>
    <col min="12807" max="12807" width="9.140625" style="18"/>
    <col min="12808" max="12808" width="1.5703125" style="18" customWidth="1"/>
    <col min="12809" max="12814" width="0" style="18" hidden="1" customWidth="1"/>
    <col min="12815" max="13056" width="9.140625" style="18"/>
    <col min="13057" max="13057" width="2.7109375" style="18" customWidth="1"/>
    <col min="13058" max="13059" width="6" style="18" customWidth="1"/>
    <col min="13060" max="13060" width="34.7109375" style="18" customWidth="1"/>
    <col min="13061" max="13061" width="11.28515625" style="18" customWidth="1"/>
    <col min="13062" max="13062" width="11" style="18" customWidth="1"/>
    <col min="13063" max="13063" width="9.140625" style="18"/>
    <col min="13064" max="13064" width="1.5703125" style="18" customWidth="1"/>
    <col min="13065" max="13070" width="0" style="18" hidden="1" customWidth="1"/>
    <col min="13071" max="13312" width="9.140625" style="18"/>
    <col min="13313" max="13313" width="2.7109375" style="18" customWidth="1"/>
    <col min="13314" max="13315" width="6" style="18" customWidth="1"/>
    <col min="13316" max="13316" width="34.7109375" style="18" customWidth="1"/>
    <col min="13317" max="13317" width="11.28515625" style="18" customWidth="1"/>
    <col min="13318" max="13318" width="11" style="18" customWidth="1"/>
    <col min="13319" max="13319" width="9.140625" style="18"/>
    <col min="13320" max="13320" width="1.5703125" style="18" customWidth="1"/>
    <col min="13321" max="13326" width="0" style="18" hidden="1" customWidth="1"/>
    <col min="13327" max="13568" width="9.140625" style="18"/>
    <col min="13569" max="13569" width="2.7109375" style="18" customWidth="1"/>
    <col min="13570" max="13571" width="6" style="18" customWidth="1"/>
    <col min="13572" max="13572" width="34.7109375" style="18" customWidth="1"/>
    <col min="13573" max="13573" width="11.28515625" style="18" customWidth="1"/>
    <col min="13574" max="13574" width="11" style="18" customWidth="1"/>
    <col min="13575" max="13575" width="9.140625" style="18"/>
    <col min="13576" max="13576" width="1.5703125" style="18" customWidth="1"/>
    <col min="13577" max="13582" width="0" style="18" hidden="1" customWidth="1"/>
    <col min="13583" max="13824" width="9.140625" style="18"/>
    <col min="13825" max="13825" width="2.7109375" style="18" customWidth="1"/>
    <col min="13826" max="13827" width="6" style="18" customWidth="1"/>
    <col min="13828" max="13828" width="34.7109375" style="18" customWidth="1"/>
    <col min="13829" max="13829" width="11.28515625" style="18" customWidth="1"/>
    <col min="13830" max="13830" width="11" style="18" customWidth="1"/>
    <col min="13831" max="13831" width="9.140625" style="18"/>
    <col min="13832" max="13832" width="1.5703125" style="18" customWidth="1"/>
    <col min="13833" max="13838" width="0" style="18" hidden="1" customWidth="1"/>
    <col min="13839" max="14080" width="9.140625" style="18"/>
    <col min="14081" max="14081" width="2.7109375" style="18" customWidth="1"/>
    <col min="14082" max="14083" width="6" style="18" customWidth="1"/>
    <col min="14084" max="14084" width="34.7109375" style="18" customWidth="1"/>
    <col min="14085" max="14085" width="11.28515625" style="18" customWidth="1"/>
    <col min="14086" max="14086" width="11" style="18" customWidth="1"/>
    <col min="14087" max="14087" width="9.140625" style="18"/>
    <col min="14088" max="14088" width="1.5703125" style="18" customWidth="1"/>
    <col min="14089" max="14094" width="0" style="18" hidden="1" customWidth="1"/>
    <col min="14095" max="14336" width="9.140625" style="18"/>
    <col min="14337" max="14337" width="2.7109375" style="18" customWidth="1"/>
    <col min="14338" max="14339" width="6" style="18" customWidth="1"/>
    <col min="14340" max="14340" width="34.7109375" style="18" customWidth="1"/>
    <col min="14341" max="14341" width="11.28515625" style="18" customWidth="1"/>
    <col min="14342" max="14342" width="11" style="18" customWidth="1"/>
    <col min="14343" max="14343" width="9.140625" style="18"/>
    <col min="14344" max="14344" width="1.5703125" style="18" customWidth="1"/>
    <col min="14345" max="14350" width="0" style="18" hidden="1" customWidth="1"/>
    <col min="14351" max="14592" width="9.140625" style="18"/>
    <col min="14593" max="14593" width="2.7109375" style="18" customWidth="1"/>
    <col min="14594" max="14595" width="6" style="18" customWidth="1"/>
    <col min="14596" max="14596" width="34.7109375" style="18" customWidth="1"/>
    <col min="14597" max="14597" width="11.28515625" style="18" customWidth="1"/>
    <col min="14598" max="14598" width="11" style="18" customWidth="1"/>
    <col min="14599" max="14599" width="9.140625" style="18"/>
    <col min="14600" max="14600" width="1.5703125" style="18" customWidth="1"/>
    <col min="14601" max="14606" width="0" style="18" hidden="1" customWidth="1"/>
    <col min="14607" max="14848" width="9.140625" style="18"/>
    <col min="14849" max="14849" width="2.7109375" style="18" customWidth="1"/>
    <col min="14850" max="14851" width="6" style="18" customWidth="1"/>
    <col min="14852" max="14852" width="34.7109375" style="18" customWidth="1"/>
    <col min="14853" max="14853" width="11.28515625" style="18" customWidth="1"/>
    <col min="14854" max="14854" width="11" style="18" customWidth="1"/>
    <col min="14855" max="14855" width="9.140625" style="18"/>
    <col min="14856" max="14856" width="1.5703125" style="18" customWidth="1"/>
    <col min="14857" max="14862" width="0" style="18" hidden="1" customWidth="1"/>
    <col min="14863" max="15104" width="9.140625" style="18"/>
    <col min="15105" max="15105" width="2.7109375" style="18" customWidth="1"/>
    <col min="15106" max="15107" width="6" style="18" customWidth="1"/>
    <col min="15108" max="15108" width="34.7109375" style="18" customWidth="1"/>
    <col min="15109" max="15109" width="11.28515625" style="18" customWidth="1"/>
    <col min="15110" max="15110" width="11" style="18" customWidth="1"/>
    <col min="15111" max="15111" width="9.140625" style="18"/>
    <col min="15112" max="15112" width="1.5703125" style="18" customWidth="1"/>
    <col min="15113" max="15118" width="0" style="18" hidden="1" customWidth="1"/>
    <col min="15119" max="15360" width="9.140625" style="18"/>
    <col min="15361" max="15361" width="2.7109375" style="18" customWidth="1"/>
    <col min="15362" max="15363" width="6" style="18" customWidth="1"/>
    <col min="15364" max="15364" width="34.7109375" style="18" customWidth="1"/>
    <col min="15365" max="15365" width="11.28515625" style="18" customWidth="1"/>
    <col min="15366" max="15366" width="11" style="18" customWidth="1"/>
    <col min="15367" max="15367" width="9.140625" style="18"/>
    <col min="15368" max="15368" width="1.5703125" style="18" customWidth="1"/>
    <col min="15369" max="15374" width="0" style="18" hidden="1" customWidth="1"/>
    <col min="15375" max="15616" width="9.140625" style="18"/>
    <col min="15617" max="15617" width="2.7109375" style="18" customWidth="1"/>
    <col min="15618" max="15619" width="6" style="18" customWidth="1"/>
    <col min="15620" max="15620" width="34.7109375" style="18" customWidth="1"/>
    <col min="15621" max="15621" width="11.28515625" style="18" customWidth="1"/>
    <col min="15622" max="15622" width="11" style="18" customWidth="1"/>
    <col min="15623" max="15623" width="9.140625" style="18"/>
    <col min="15624" max="15624" width="1.5703125" style="18" customWidth="1"/>
    <col min="15625" max="15630" width="0" style="18" hidden="1" customWidth="1"/>
    <col min="15631" max="15872" width="9.140625" style="18"/>
    <col min="15873" max="15873" width="2.7109375" style="18" customWidth="1"/>
    <col min="15874" max="15875" width="6" style="18" customWidth="1"/>
    <col min="15876" max="15876" width="34.7109375" style="18" customWidth="1"/>
    <col min="15877" max="15877" width="11.28515625" style="18" customWidth="1"/>
    <col min="15878" max="15878" width="11" style="18" customWidth="1"/>
    <col min="15879" max="15879" width="9.140625" style="18"/>
    <col min="15880" max="15880" width="1.5703125" style="18" customWidth="1"/>
    <col min="15881" max="15886" width="0" style="18" hidden="1" customWidth="1"/>
    <col min="15887" max="16128" width="9.140625" style="18"/>
    <col min="16129" max="16129" width="2.7109375" style="18" customWidth="1"/>
    <col min="16130" max="16131" width="6" style="18" customWidth="1"/>
    <col min="16132" max="16132" width="34.7109375" style="18" customWidth="1"/>
    <col min="16133" max="16133" width="11.28515625" style="18" customWidth="1"/>
    <col min="16134" max="16134" width="11" style="18" customWidth="1"/>
    <col min="16135" max="16135" width="9.140625" style="18"/>
    <col min="16136" max="16136" width="1.5703125" style="18" customWidth="1"/>
    <col min="16137" max="16142" width="0" style="18" hidden="1" customWidth="1"/>
    <col min="16143" max="16384" width="9.140625" style="18"/>
  </cols>
  <sheetData>
    <row r="1" spans="1:14" ht="31.5" customHeight="1" x14ac:dyDescent="0.3">
      <c r="B1" s="511" t="s">
        <v>151</v>
      </c>
      <c r="C1" s="511"/>
      <c r="D1" s="511"/>
      <c r="E1" s="511"/>
      <c r="F1" s="511"/>
      <c r="G1" s="511"/>
    </row>
    <row r="2" spans="1:14" ht="24.75" customHeight="1" x14ac:dyDescent="0.2">
      <c r="B2" s="54"/>
      <c r="C2" s="54"/>
      <c r="D2" s="54"/>
      <c r="E2" s="54"/>
      <c r="F2" s="55"/>
      <c r="G2" s="54"/>
    </row>
    <row r="3" spans="1:14" ht="73.5" customHeight="1" x14ac:dyDescent="0.2">
      <c r="B3" s="512" t="str">
        <f>"         A "&amp;BDI_Preencher!G6&amp;" "&amp;BDI_Preencher!$F$6&amp;" declara para os devidos e necessários fins que na elaboração do orçamento referente ao objeto ''"&amp;BDI_Preencher!$E$9&amp;"'', CT nº "&amp;BDI_Preencher!$E$8&amp;", foi adotado percentual de BDI de "&amp;E30&amp; " % (conforme planilha da composição analítica abaixo) e encargos " &amp;BDI_Preencher!$E$10&amp; " em conformidade com o estabelecido no SINAPI."</f>
        <v xml:space="preserve">         A Prefeitura Municipal de Lindolfo Collor declara para os devidos e necessários fins que na elaboração do orçamento referente ao objeto ''Rua Benno Johan Heinle'', CT nº Contrato de Repasse 939612/2025 Operação 1085634-24, foi adotado percentual de BDI de 21,5 % (conforme planilha da composição analítica abaixo) e encargos sem desoneração em conformidade com o estabelecido no SINAPI.</v>
      </c>
      <c r="C3" s="512"/>
      <c r="D3" s="512"/>
      <c r="E3" s="512"/>
      <c r="F3" s="512"/>
      <c r="G3" s="512"/>
    </row>
    <row r="4" spans="1:14" ht="34.5" customHeight="1" x14ac:dyDescent="0.2">
      <c r="B4" s="512" t="str">
        <f>"         Declaramos ainda que a alíquota de ISSQN no município é de "&amp;BDI_Preencher!$E$21&amp;"%, a incidir sobre o "&amp;BDI_Preencher!$E$22&amp; "."</f>
        <v xml:space="preserve">         Declaramos ainda que a alíquota de ISSQN no município é de 3%, a incidir sobre o valor total da obra.</v>
      </c>
      <c r="C4" s="512"/>
      <c r="D4" s="512"/>
      <c r="E4" s="512"/>
      <c r="F4" s="512"/>
      <c r="G4" s="512"/>
    </row>
    <row r="5" spans="1:14" ht="15" customHeight="1" x14ac:dyDescent="0.25">
      <c r="B5" s="513" t="str">
        <f>IF(BDI_Preencher!E22="valor total da obra","","Para a obra em questão é considerada a relação de "&amp;BDI_Preencher!$E$23&amp;"% é mão de obra e "&amp;100-BDI_Preencher!$E$23&amp;"% é material.")</f>
        <v/>
      </c>
      <c r="C5" s="513"/>
      <c r="D5" s="513"/>
      <c r="E5" s="513"/>
      <c r="F5" s="513"/>
      <c r="G5" s="513"/>
    </row>
    <row r="6" spans="1:14" ht="15" customHeight="1" x14ac:dyDescent="0.25">
      <c r="B6" s="514" t="str">
        <f>"         O regime de execução da obra será "&amp;BDI_Preencher!E19&amp;"."</f>
        <v xml:space="preserve">         O regime de execução da obra será empreitada por preço global.</v>
      </c>
      <c r="C6" s="514"/>
      <c r="D6" s="514"/>
      <c r="E6" s="514"/>
      <c r="F6" s="514"/>
      <c r="G6" s="514"/>
    </row>
    <row r="7" spans="1:14" ht="33.75" customHeight="1" x14ac:dyDescent="0.25">
      <c r="B7" s="510" t="str">
        <f>"Oportunamente, declaramos que a opção de orçamento considerando os encargos "&amp;BDI_Preencher!E10&amp;" é a opção mais adequada para a Administração Pública Municipal."</f>
        <v>Oportunamente, declaramos que a opção de orçamento considerando os encargos sem desoneração é a opção mais adequada para a Administração Pública Municipal.</v>
      </c>
      <c r="C7" s="510"/>
      <c r="D7" s="510"/>
      <c r="E7" s="510"/>
      <c r="F7" s="510"/>
      <c r="G7" s="510"/>
    </row>
    <row r="8" spans="1:14" ht="38.25" customHeight="1" thickBot="1" x14ac:dyDescent="0.25">
      <c r="B8" s="56"/>
      <c r="C8" s="56"/>
      <c r="D8" s="56"/>
      <c r="E8" s="56"/>
      <c r="F8" s="57"/>
      <c r="G8" s="57"/>
    </row>
    <row r="9" spans="1:14" ht="27.75" customHeight="1" thickBot="1" x14ac:dyDescent="0.3">
      <c r="B9" s="517" t="s">
        <v>152</v>
      </c>
      <c r="C9" s="518"/>
      <c r="D9" s="518"/>
      <c r="E9" s="519"/>
      <c r="F9" s="58"/>
      <c r="G9" s="58"/>
      <c r="I9" s="20"/>
      <c r="J9" s="59"/>
      <c r="K9" s="20"/>
      <c r="L9" s="20"/>
      <c r="M9" s="20"/>
      <c r="N9" s="20"/>
    </row>
    <row r="10" spans="1:14" ht="6" customHeight="1" thickBot="1" x14ac:dyDescent="0.25">
      <c r="B10" s="60"/>
      <c r="C10" s="54"/>
      <c r="D10" s="54"/>
      <c r="E10" s="61"/>
      <c r="F10" s="62"/>
      <c r="G10" s="63"/>
      <c r="I10" s="20"/>
      <c r="J10" s="20"/>
      <c r="K10" s="20"/>
      <c r="L10" s="20"/>
      <c r="M10" s="20"/>
      <c r="N10" s="20"/>
    </row>
    <row r="11" spans="1:14" ht="24" customHeight="1" thickBot="1" x14ac:dyDescent="0.25">
      <c r="B11" s="520" t="s">
        <v>153</v>
      </c>
      <c r="C11" s="521"/>
      <c r="D11" s="522" t="str">
        <f>BDI_Preencher!D31</f>
        <v>2 - Construção de Rodovias e Ferrovias</v>
      </c>
      <c r="E11" s="523"/>
      <c r="F11" s="64"/>
      <c r="G11" s="64"/>
      <c r="I11" s="20"/>
      <c r="J11" s="20"/>
      <c r="K11" s="20"/>
      <c r="L11" s="20"/>
      <c r="M11" s="20"/>
      <c r="N11" s="20"/>
    </row>
    <row r="12" spans="1:14" ht="5.25" customHeight="1" thickBot="1" x14ac:dyDescent="0.25">
      <c r="B12" s="60"/>
      <c r="C12" s="54"/>
      <c r="D12" s="54"/>
      <c r="E12" s="61"/>
      <c r="F12" s="62"/>
      <c r="G12" s="63"/>
      <c r="I12" s="20"/>
      <c r="J12" s="20"/>
      <c r="K12" s="20"/>
      <c r="L12" s="20"/>
      <c r="M12" s="20"/>
      <c r="N12" s="20"/>
    </row>
    <row r="13" spans="1:14" ht="13.5" thickBot="1" x14ac:dyDescent="0.25">
      <c r="B13" s="524" t="s">
        <v>82</v>
      </c>
      <c r="C13" s="525"/>
      <c r="D13" s="525"/>
      <c r="E13" s="65" t="s">
        <v>83</v>
      </c>
      <c r="F13" s="66"/>
      <c r="G13" s="66"/>
      <c r="I13" s="20"/>
      <c r="J13" s="20" t="s">
        <v>86</v>
      </c>
      <c r="K13" s="20"/>
      <c r="L13" s="20"/>
      <c r="M13" s="20" t="s">
        <v>87</v>
      </c>
      <c r="N13" s="20" t="s">
        <v>85</v>
      </c>
    </row>
    <row r="14" spans="1:14" x14ac:dyDescent="0.2">
      <c r="A14" s="20"/>
      <c r="B14" s="67" t="s">
        <v>88</v>
      </c>
      <c r="C14" s="526" t="s">
        <v>89</v>
      </c>
      <c r="D14" s="527"/>
      <c r="E14" s="68">
        <f>BDI_Preencher!G34</f>
        <v>3.94</v>
      </c>
      <c r="F14" s="69"/>
      <c r="G14" s="69"/>
      <c r="I14" s="20"/>
      <c r="J14" s="20" t="s">
        <v>81</v>
      </c>
      <c r="K14" s="20"/>
      <c r="L14" s="20" t="s">
        <v>90</v>
      </c>
      <c r="M14" s="36">
        <v>3</v>
      </c>
      <c r="N14" s="36">
        <v>5.5</v>
      </c>
    </row>
    <row r="15" spans="1:14" x14ac:dyDescent="0.2">
      <c r="A15" s="20"/>
      <c r="B15" s="70" t="s">
        <v>91</v>
      </c>
      <c r="C15" s="515" t="s">
        <v>92</v>
      </c>
      <c r="D15" s="516"/>
      <c r="E15" s="68">
        <f>BDI_Preencher!G35</f>
        <v>0.5</v>
      </c>
      <c r="F15" s="69"/>
      <c r="G15" s="69"/>
      <c r="I15" s="20"/>
      <c r="J15" s="20" t="s">
        <v>93</v>
      </c>
      <c r="K15" s="20"/>
      <c r="L15" s="20" t="s">
        <v>94</v>
      </c>
      <c r="M15" s="36">
        <v>0.8</v>
      </c>
      <c r="N15" s="36">
        <v>1</v>
      </c>
    </row>
    <row r="16" spans="1:14" x14ac:dyDescent="0.2">
      <c r="A16" s="20"/>
      <c r="B16" s="70" t="s">
        <v>95</v>
      </c>
      <c r="C16" s="515" t="s">
        <v>96</v>
      </c>
      <c r="D16" s="516"/>
      <c r="E16" s="68">
        <f>BDI_Preencher!G36</f>
        <v>0.7</v>
      </c>
      <c r="F16" s="69"/>
      <c r="G16" s="69"/>
      <c r="I16" s="20"/>
      <c r="J16" s="20" t="s">
        <v>97</v>
      </c>
      <c r="K16" s="20"/>
      <c r="L16" s="20" t="s">
        <v>98</v>
      </c>
      <c r="M16" s="36">
        <v>0.97</v>
      </c>
      <c r="N16" s="36">
        <v>1.27</v>
      </c>
    </row>
    <row r="17" spans="1:14" x14ac:dyDescent="0.2">
      <c r="A17" s="20"/>
      <c r="B17" s="70" t="s">
        <v>99</v>
      </c>
      <c r="C17" s="515" t="s">
        <v>154</v>
      </c>
      <c r="D17" s="516"/>
      <c r="E17" s="68">
        <f>BDI_Preencher!G37</f>
        <v>1.1000000000000001</v>
      </c>
      <c r="F17" s="69"/>
      <c r="G17" s="69"/>
      <c r="I17" s="20"/>
      <c r="J17" s="20" t="s">
        <v>101</v>
      </c>
      <c r="K17" s="20"/>
      <c r="L17" s="20" t="s">
        <v>102</v>
      </c>
      <c r="M17" s="36">
        <v>0.59</v>
      </c>
      <c r="N17" s="36">
        <v>1.39</v>
      </c>
    </row>
    <row r="18" spans="1:14" x14ac:dyDescent="0.2">
      <c r="A18" s="20"/>
      <c r="B18" s="70" t="s">
        <v>103</v>
      </c>
      <c r="C18" s="515" t="s">
        <v>104</v>
      </c>
      <c r="D18" s="516"/>
      <c r="E18" s="68">
        <f>BDI_Preencher!G38</f>
        <v>6.7</v>
      </c>
      <c r="F18" s="69"/>
      <c r="G18" s="69"/>
      <c r="I18" s="20"/>
      <c r="J18" s="20" t="s">
        <v>105</v>
      </c>
      <c r="K18" s="20"/>
      <c r="L18" s="20" t="s">
        <v>106</v>
      </c>
      <c r="M18" s="36">
        <v>6.16</v>
      </c>
      <c r="N18" s="36">
        <v>8.9600000000000009</v>
      </c>
    </row>
    <row r="19" spans="1:14" x14ac:dyDescent="0.2">
      <c r="B19" s="70" t="s">
        <v>107</v>
      </c>
      <c r="C19" s="515" t="s">
        <v>19</v>
      </c>
      <c r="D19" s="516"/>
      <c r="E19" s="68">
        <f>SUM(E20:E23)</f>
        <v>6.65</v>
      </c>
      <c r="F19" s="528"/>
      <c r="G19" s="528"/>
      <c r="I19" s="20"/>
      <c r="J19" s="20"/>
      <c r="K19" s="20"/>
      <c r="L19" s="20" t="s">
        <v>109</v>
      </c>
      <c r="M19" s="36">
        <v>3.8</v>
      </c>
      <c r="N19" s="36">
        <v>4.67</v>
      </c>
    </row>
    <row r="20" spans="1:14" x14ac:dyDescent="0.2">
      <c r="B20" s="70"/>
      <c r="C20" s="71"/>
      <c r="D20" s="72" t="s">
        <v>20</v>
      </c>
      <c r="E20" s="73">
        <f>BDI_Preencher!G40</f>
        <v>0.65</v>
      </c>
      <c r="F20" s="528"/>
      <c r="G20" s="528"/>
      <c r="I20" s="20"/>
      <c r="J20" s="20"/>
      <c r="K20" s="20"/>
      <c r="L20" s="20"/>
      <c r="M20" s="36"/>
      <c r="N20" s="36"/>
    </row>
    <row r="21" spans="1:14" x14ac:dyDescent="0.2">
      <c r="B21" s="70"/>
      <c r="C21" s="71"/>
      <c r="D21" s="72" t="s">
        <v>21</v>
      </c>
      <c r="E21" s="73">
        <f>BDI_Preencher!G41</f>
        <v>3</v>
      </c>
      <c r="F21" s="528"/>
      <c r="G21" s="528"/>
      <c r="I21" s="20"/>
      <c r="J21" s="20"/>
      <c r="K21" s="20"/>
      <c r="L21" s="20"/>
      <c r="M21" s="36"/>
      <c r="N21" s="36"/>
    </row>
    <row r="22" spans="1:14" x14ac:dyDescent="0.2">
      <c r="B22" s="70"/>
      <c r="C22" s="71"/>
      <c r="D22" s="72" t="s">
        <v>155</v>
      </c>
      <c r="E22" s="73">
        <f>BDI_Preencher!G42</f>
        <v>3</v>
      </c>
      <c r="F22" s="528"/>
      <c r="G22" s="528"/>
      <c r="I22" s="20"/>
      <c r="J22" s="20"/>
      <c r="K22" s="20"/>
      <c r="L22" s="20"/>
      <c r="M22" s="36"/>
      <c r="N22" s="36"/>
    </row>
    <row r="23" spans="1:14" ht="13.5" thickBot="1" x14ac:dyDescent="0.25">
      <c r="B23" s="74"/>
      <c r="C23" s="75"/>
      <c r="D23" s="76" t="s">
        <v>22</v>
      </c>
      <c r="E23" s="77">
        <f>BDI_Preencher!G43</f>
        <v>0</v>
      </c>
      <c r="F23" s="528"/>
      <c r="G23" s="528"/>
      <c r="I23" s="20"/>
      <c r="J23" s="20"/>
      <c r="K23" s="20"/>
      <c r="L23" s="20"/>
      <c r="M23" s="36"/>
      <c r="N23" s="36"/>
    </row>
    <row r="24" spans="1:14" ht="4.5" customHeight="1" thickBot="1" x14ac:dyDescent="0.25">
      <c r="B24" s="54"/>
      <c r="C24" s="54"/>
      <c r="D24" s="54"/>
      <c r="E24" s="54"/>
      <c r="F24" s="55"/>
      <c r="G24" s="54"/>
      <c r="I24" s="20"/>
      <c r="J24" s="20"/>
      <c r="K24" s="20"/>
      <c r="L24" s="20" t="s">
        <v>114</v>
      </c>
      <c r="M24" s="36">
        <v>0.5</v>
      </c>
      <c r="N24" s="36">
        <v>0.97</v>
      </c>
    </row>
    <row r="25" spans="1:14" ht="13.5" thickBot="1" x14ac:dyDescent="0.25">
      <c r="B25" s="542" t="s">
        <v>115</v>
      </c>
      <c r="C25" s="543"/>
      <c r="D25" s="543"/>
      <c r="E25" s="544"/>
      <c r="F25" s="78"/>
      <c r="G25" s="54"/>
      <c r="I25" s="20"/>
      <c r="J25" s="20"/>
      <c r="K25" s="20"/>
      <c r="L25" s="20" t="s">
        <v>116</v>
      </c>
      <c r="M25" s="36">
        <v>1.02</v>
      </c>
      <c r="N25" s="36">
        <v>1.21</v>
      </c>
    </row>
    <row r="26" spans="1:14" ht="22.5" customHeight="1" thickBot="1" x14ac:dyDescent="0.25">
      <c r="B26" s="529"/>
      <c r="C26" s="531" t="s">
        <v>117</v>
      </c>
      <c r="D26" s="79" t="s">
        <v>118</v>
      </c>
      <c r="E26" s="533">
        <v>-1</v>
      </c>
      <c r="F26" s="55"/>
      <c r="G26" s="54"/>
      <c r="I26" s="20"/>
      <c r="J26" s="20"/>
      <c r="K26" s="20"/>
      <c r="L26" s="20" t="s">
        <v>119</v>
      </c>
      <c r="M26" s="36">
        <v>6.64</v>
      </c>
      <c r="N26" s="36">
        <v>8.69</v>
      </c>
    </row>
    <row r="27" spans="1:14" ht="21" customHeight="1" thickBot="1" x14ac:dyDescent="0.25">
      <c r="B27" s="530"/>
      <c r="C27" s="532"/>
      <c r="D27" s="80" t="s">
        <v>120</v>
      </c>
      <c r="E27" s="534"/>
      <c r="F27" s="55"/>
      <c r="G27" s="54"/>
      <c r="I27" s="20"/>
      <c r="J27" s="20"/>
      <c r="K27" s="20"/>
      <c r="L27" s="20" t="s">
        <v>121</v>
      </c>
      <c r="M27" s="36">
        <v>3.43</v>
      </c>
      <c r="N27" s="36">
        <v>6.71</v>
      </c>
    </row>
    <row r="28" spans="1:14" ht="3" customHeight="1" thickBot="1" x14ac:dyDescent="0.25">
      <c r="B28" s="54"/>
      <c r="C28" s="54"/>
      <c r="D28" s="54"/>
      <c r="E28" s="54"/>
      <c r="F28" s="55"/>
      <c r="G28" s="54"/>
      <c r="I28" s="20"/>
      <c r="J28" s="20"/>
      <c r="K28" s="20"/>
      <c r="L28" s="20" t="s">
        <v>122</v>
      </c>
      <c r="M28" s="36">
        <v>0.28000000000000003</v>
      </c>
      <c r="N28" s="36">
        <v>0.75</v>
      </c>
    </row>
    <row r="29" spans="1:14" ht="15" customHeight="1" thickBot="1" x14ac:dyDescent="0.25">
      <c r="B29" s="535" t="s">
        <v>123</v>
      </c>
      <c r="C29" s="536"/>
      <c r="D29" s="536"/>
      <c r="E29" s="537"/>
      <c r="F29" s="538" t="str">
        <f>IF(BDI_Preencher!G51&gt;=BDI_Preencher!H51,IF(BDI_Preencher!G51&lt;=BDI_Preencher!I51,"De acordo com o Acórdão 2622/2013-TCU.","NÃO"),"XXX BDI FORA DOS LIMITES AC 2622/13 XXX")</f>
        <v>De acordo com o Acórdão 2622/2013-TCU.</v>
      </c>
      <c r="G29" s="539"/>
      <c r="I29" s="20"/>
      <c r="J29" s="20"/>
      <c r="K29" s="20"/>
      <c r="L29" s="20" t="s">
        <v>124</v>
      </c>
      <c r="M29" s="36">
        <v>1</v>
      </c>
      <c r="N29" s="36">
        <v>1.74</v>
      </c>
    </row>
    <row r="30" spans="1:14" ht="16.5" thickBot="1" x14ac:dyDescent="0.3">
      <c r="A30" s="20"/>
      <c r="B30" s="540" t="s">
        <v>123</v>
      </c>
      <c r="C30" s="541"/>
      <c r="D30" s="541"/>
      <c r="E30" s="81">
        <f>100*ROUND((((1+E14/100+E15/100+E16/100)*(1+E17/100)*(1+E18/100))/(1-E19/100))-1,4)</f>
        <v>21.5</v>
      </c>
      <c r="F30" s="538"/>
      <c r="G30" s="539"/>
      <c r="I30" s="20"/>
      <c r="J30" s="20"/>
      <c r="K30" s="20"/>
      <c r="L30" s="20" t="s">
        <v>125</v>
      </c>
      <c r="M30" s="36">
        <v>0.94</v>
      </c>
      <c r="N30" s="36">
        <v>1.17</v>
      </c>
    </row>
    <row r="31" spans="1:14" ht="8.25" customHeight="1" x14ac:dyDescent="0.2">
      <c r="B31" s="54"/>
      <c r="C31" s="54"/>
      <c r="D31" s="54"/>
      <c r="E31" s="54"/>
      <c r="F31" s="55"/>
      <c r="G31" s="54"/>
      <c r="I31" s="20"/>
      <c r="J31" s="20"/>
      <c r="K31" s="20"/>
      <c r="L31" s="20" t="s">
        <v>156</v>
      </c>
      <c r="M31" s="36">
        <v>5.29</v>
      </c>
      <c r="N31" s="36">
        <v>7.93</v>
      </c>
    </row>
    <row r="32" spans="1:14" ht="17.25" customHeight="1" x14ac:dyDescent="0.2">
      <c r="B32" s="54"/>
      <c r="C32" s="54"/>
      <c r="D32" s="54"/>
      <c r="E32" s="54"/>
      <c r="F32" s="55"/>
      <c r="G32" s="54"/>
      <c r="I32" s="20"/>
      <c r="J32" s="20"/>
      <c r="K32" s="20"/>
      <c r="L32" s="20"/>
      <c r="M32" s="36"/>
      <c r="N32" s="36"/>
    </row>
    <row r="33" spans="2:14" ht="15" customHeight="1" x14ac:dyDescent="0.2">
      <c r="B33" s="54"/>
      <c r="C33" s="54"/>
      <c r="D33" s="54"/>
      <c r="E33" s="546" t="str">
        <f>BDI_Preencher!E7&amp;", "&amp;TEXT(BDI_Preencher!E11,"dd")&amp; " de "&amp;TEXT(BDI_Preencher!E11,"mmmm")&amp;" de "&amp;TEXT(BDI_Preencher!E11,"aaaa")</f>
        <v>Lindolfo Collor, RS, 30 de junho de 2024</v>
      </c>
      <c r="F33" s="546"/>
      <c r="G33" s="546"/>
      <c r="I33" s="20"/>
      <c r="J33" s="20"/>
      <c r="K33" s="20"/>
      <c r="L33" s="20"/>
      <c r="M33" s="36"/>
      <c r="N33" s="36"/>
    </row>
    <row r="34" spans="2:14" ht="34.5" customHeight="1" x14ac:dyDescent="0.2">
      <c r="B34" s="547"/>
      <c r="C34" s="547"/>
      <c r="D34" s="547"/>
      <c r="E34" s="547"/>
      <c r="F34" s="547"/>
      <c r="G34" s="547"/>
      <c r="I34" s="20"/>
      <c r="J34" s="20"/>
      <c r="K34" s="20"/>
      <c r="L34" s="20" t="s">
        <v>130</v>
      </c>
      <c r="M34" s="36">
        <v>0.25</v>
      </c>
      <c r="N34" s="36">
        <v>0.56000000000000005</v>
      </c>
    </row>
    <row r="35" spans="2:14" ht="11.25" customHeight="1" x14ac:dyDescent="0.2">
      <c r="B35" s="82"/>
      <c r="C35" s="82"/>
      <c r="D35" s="54"/>
      <c r="E35" s="54"/>
      <c r="F35" s="55"/>
      <c r="G35" s="54"/>
      <c r="I35" s="20"/>
      <c r="J35" s="20"/>
      <c r="K35" s="20"/>
      <c r="L35" s="20" t="s">
        <v>132</v>
      </c>
      <c r="M35" s="36">
        <v>1</v>
      </c>
      <c r="N35" s="36">
        <v>1.97</v>
      </c>
    </row>
    <row r="36" spans="2:14" x14ac:dyDescent="0.2">
      <c r="B36" s="548" t="str">
        <f>BDI_Preencher!E13&amp;" - Responsável Técnico"</f>
        <v>Wiliam Eduardo Weiler - Responsável Técnico</v>
      </c>
      <c r="C36" s="548"/>
      <c r="D36" s="548"/>
      <c r="E36" s="54"/>
      <c r="F36" s="55"/>
      <c r="G36" s="54"/>
      <c r="I36" s="20"/>
      <c r="J36" s="20"/>
      <c r="K36" s="20"/>
      <c r="L36" s="20" t="s">
        <v>133</v>
      </c>
      <c r="M36" s="36">
        <v>1.01</v>
      </c>
      <c r="N36" s="36">
        <v>1.1100000000000001</v>
      </c>
    </row>
    <row r="37" spans="2:14" x14ac:dyDescent="0.2">
      <c r="B37" s="545" t="str">
        <f>BDI_Preencher!B14&amp;BDI_Preencher!E14</f>
        <v>CREA nº 149345</v>
      </c>
      <c r="C37" s="545"/>
      <c r="D37" s="545"/>
      <c r="E37" s="54"/>
      <c r="F37" s="55"/>
      <c r="G37" s="54"/>
      <c r="I37" s="20"/>
      <c r="J37" s="20"/>
      <c r="K37" s="20"/>
      <c r="L37" s="20" t="s">
        <v>134</v>
      </c>
      <c r="M37" s="36">
        <v>8</v>
      </c>
      <c r="N37" s="36">
        <v>9.51</v>
      </c>
    </row>
    <row r="38" spans="2:14" x14ac:dyDescent="0.2">
      <c r="B38" s="545"/>
      <c r="C38" s="545"/>
      <c r="D38" s="545"/>
      <c r="E38" s="54"/>
      <c r="F38" s="55"/>
      <c r="G38" s="54"/>
      <c r="I38" s="20"/>
      <c r="J38" s="20"/>
      <c r="K38" s="20"/>
      <c r="L38" s="20" t="s">
        <v>135</v>
      </c>
      <c r="M38" s="36">
        <v>4</v>
      </c>
      <c r="N38" s="36">
        <v>7.85</v>
      </c>
    </row>
    <row r="39" spans="2:14" ht="8.25" customHeight="1" x14ac:dyDescent="0.2">
      <c r="B39" s="54"/>
      <c r="C39" s="54"/>
      <c r="D39" s="54"/>
      <c r="E39" s="54"/>
      <c r="F39" s="55"/>
      <c r="G39" s="54"/>
      <c r="I39" s="20"/>
      <c r="J39" s="20"/>
      <c r="K39" s="20"/>
      <c r="L39" s="20" t="s">
        <v>136</v>
      </c>
      <c r="M39" s="36">
        <v>0.81</v>
      </c>
      <c r="N39" s="36">
        <v>1.99</v>
      </c>
    </row>
    <row r="40" spans="2:14" x14ac:dyDescent="0.2">
      <c r="B40" s="82"/>
      <c r="C40" s="82"/>
      <c r="D40" s="54"/>
      <c r="E40" s="54"/>
      <c r="F40" s="55"/>
      <c r="G40" s="54"/>
      <c r="I40" s="20"/>
      <c r="J40" s="20"/>
      <c r="K40" s="20"/>
      <c r="L40" s="20" t="s">
        <v>137</v>
      </c>
      <c r="M40" s="36">
        <v>1.46</v>
      </c>
      <c r="N40" s="36">
        <v>3.16</v>
      </c>
    </row>
    <row r="41" spans="2:14" x14ac:dyDescent="0.2">
      <c r="B41" s="548" t="str">
        <f>BDI_Preencher!E16&amp;" - Prefeito"</f>
        <v>Gaspar Behne - Prefeito</v>
      </c>
      <c r="C41" s="548"/>
      <c r="D41" s="548"/>
      <c r="E41" s="54"/>
      <c r="F41" s="55"/>
      <c r="G41" s="54"/>
      <c r="I41" s="20"/>
      <c r="J41" s="20"/>
      <c r="K41" s="20"/>
      <c r="L41" s="20" t="s">
        <v>138</v>
      </c>
      <c r="M41" s="36">
        <v>0.94</v>
      </c>
      <c r="N41" s="36">
        <v>1.33</v>
      </c>
    </row>
    <row r="42" spans="2:14" x14ac:dyDescent="0.2">
      <c r="B42" s="545" t="str">
        <f>"CPF nº"&amp;BDI_Preencher!E17</f>
        <v>CPF nº538.827.500-06</v>
      </c>
      <c r="C42" s="545"/>
      <c r="D42" s="545"/>
      <c r="I42" s="20"/>
      <c r="J42" s="20"/>
      <c r="K42" s="20"/>
      <c r="L42" s="20" t="s">
        <v>141</v>
      </c>
      <c r="M42" s="36">
        <v>0.3</v>
      </c>
      <c r="N42" s="36">
        <v>0.82</v>
      </c>
    </row>
    <row r="43" spans="2:14" x14ac:dyDescent="0.2">
      <c r="I43" s="20"/>
      <c r="J43" s="20"/>
      <c r="K43" s="20"/>
      <c r="L43" s="20" t="s">
        <v>144</v>
      </c>
      <c r="M43" s="36">
        <v>3.5</v>
      </c>
      <c r="N43" s="36">
        <v>6.22</v>
      </c>
    </row>
    <row r="44" spans="2:14" x14ac:dyDescent="0.2">
      <c r="I44" s="20"/>
      <c r="J44" s="20"/>
      <c r="K44" s="20"/>
      <c r="L44" s="20" t="s">
        <v>145</v>
      </c>
      <c r="M44" s="36">
        <v>20.34</v>
      </c>
      <c r="N44" s="36">
        <v>25</v>
      </c>
    </row>
    <row r="45" spans="2:14" x14ac:dyDescent="0.2">
      <c r="I45" s="20"/>
      <c r="J45" s="20"/>
      <c r="K45" s="20"/>
      <c r="L45" s="20" t="s">
        <v>146</v>
      </c>
      <c r="M45" s="36">
        <v>19.600000000000001</v>
      </c>
      <c r="N45" s="36">
        <v>24.23</v>
      </c>
    </row>
    <row r="46" spans="2:14" x14ac:dyDescent="0.2">
      <c r="I46" s="20"/>
      <c r="J46" s="20"/>
      <c r="K46" s="20"/>
      <c r="L46" s="20" t="s">
        <v>147</v>
      </c>
      <c r="M46" s="36">
        <v>20.76</v>
      </c>
      <c r="N46" s="36">
        <v>26.44</v>
      </c>
    </row>
    <row r="47" spans="2:14" x14ac:dyDescent="0.2">
      <c r="I47" s="20"/>
      <c r="J47" s="20"/>
      <c r="K47" s="20"/>
      <c r="L47" s="20" t="s">
        <v>148</v>
      </c>
      <c r="M47" s="36">
        <v>24</v>
      </c>
      <c r="N47" s="36">
        <v>27.86</v>
      </c>
    </row>
    <row r="48" spans="2:14" x14ac:dyDescent="0.2">
      <c r="I48" s="20"/>
      <c r="J48" s="20"/>
      <c r="K48" s="20"/>
      <c r="L48" s="20" t="s">
        <v>149</v>
      </c>
      <c r="M48" s="36">
        <v>22.8</v>
      </c>
      <c r="N48" s="36">
        <v>30.95</v>
      </c>
    </row>
    <row r="49" spans="9:14" x14ac:dyDescent="0.2">
      <c r="I49" s="20"/>
      <c r="J49" s="20"/>
      <c r="K49" s="20"/>
      <c r="L49" s="20" t="s">
        <v>150</v>
      </c>
      <c r="M49" s="36">
        <v>11.1</v>
      </c>
      <c r="N49" s="36">
        <v>16.8</v>
      </c>
    </row>
    <row r="50" spans="9:14" x14ac:dyDescent="0.2">
      <c r="I50" s="20"/>
      <c r="J50" s="20"/>
      <c r="K50" s="20"/>
      <c r="L50" s="20"/>
      <c r="M50" s="20"/>
      <c r="N50" s="20"/>
    </row>
    <row r="51" spans="9:14" x14ac:dyDescent="0.2">
      <c r="I51" s="20"/>
      <c r="J51" s="20"/>
      <c r="K51" s="20"/>
      <c r="L51" s="20"/>
      <c r="M51" s="20"/>
      <c r="N51" s="20"/>
    </row>
    <row r="52" spans="9:14" x14ac:dyDescent="0.2">
      <c r="I52" s="20"/>
      <c r="J52" s="20"/>
      <c r="K52" s="20"/>
      <c r="L52" s="20"/>
      <c r="M52" s="20"/>
      <c r="N52" s="20"/>
    </row>
    <row r="53" spans="9:14" x14ac:dyDescent="0.2">
      <c r="I53" s="20"/>
      <c r="J53" s="20"/>
      <c r="K53" s="20"/>
      <c r="L53" s="20"/>
      <c r="M53" s="20"/>
      <c r="N53" s="20"/>
    </row>
    <row r="54" spans="9:14" x14ac:dyDescent="0.2">
      <c r="I54" s="20"/>
      <c r="J54" s="20"/>
      <c r="K54" s="20"/>
      <c r="L54" s="20"/>
      <c r="M54" s="20"/>
      <c r="N54" s="20"/>
    </row>
    <row r="55" spans="9:14" x14ac:dyDescent="0.2">
      <c r="I55" s="20"/>
      <c r="J55" s="20"/>
      <c r="K55" s="20"/>
      <c r="L55" s="20"/>
      <c r="M55" s="20"/>
      <c r="N55" s="20"/>
    </row>
    <row r="56" spans="9:14" x14ac:dyDescent="0.2">
      <c r="I56" s="20"/>
      <c r="J56" s="20"/>
      <c r="K56" s="20"/>
      <c r="L56" s="20"/>
      <c r="M56" s="20"/>
      <c r="N56" s="20"/>
    </row>
    <row r="57" spans="9:14" x14ac:dyDescent="0.2">
      <c r="I57" s="20"/>
      <c r="J57" s="20"/>
      <c r="K57" s="20"/>
      <c r="L57" s="20"/>
      <c r="M57" s="20"/>
      <c r="N57" s="20"/>
    </row>
    <row r="58" spans="9:14" x14ac:dyDescent="0.2">
      <c r="I58" s="20"/>
      <c r="J58" s="20"/>
      <c r="K58" s="20"/>
      <c r="L58" s="20"/>
      <c r="M58" s="20"/>
      <c r="N58" s="20"/>
    </row>
    <row r="59" spans="9:14" x14ac:dyDescent="0.2">
      <c r="I59" s="20"/>
      <c r="J59" s="20"/>
      <c r="K59" s="20"/>
      <c r="L59" s="20"/>
      <c r="M59" s="20"/>
      <c r="N59" s="20"/>
    </row>
    <row r="60" spans="9:14" x14ac:dyDescent="0.2">
      <c r="I60" s="20"/>
      <c r="J60" s="20"/>
      <c r="K60" s="20"/>
      <c r="L60" s="20"/>
      <c r="M60" s="20"/>
      <c r="N60" s="20"/>
    </row>
    <row r="61" spans="9:14" x14ac:dyDescent="0.2">
      <c r="I61" s="20"/>
      <c r="J61" s="20"/>
      <c r="K61" s="20"/>
      <c r="L61" s="20"/>
      <c r="M61" s="20"/>
      <c r="N61" s="20"/>
    </row>
    <row r="62" spans="9:14" x14ac:dyDescent="0.2">
      <c r="I62" s="20"/>
      <c r="J62" s="20"/>
      <c r="K62" s="20"/>
      <c r="L62" s="20"/>
      <c r="M62" s="20"/>
      <c r="N62" s="20"/>
    </row>
    <row r="63" spans="9:14" x14ac:dyDescent="0.2">
      <c r="I63" s="20"/>
      <c r="J63" s="20"/>
      <c r="K63" s="20"/>
      <c r="L63" s="20"/>
      <c r="M63" s="20"/>
      <c r="N63" s="20"/>
    </row>
    <row r="64" spans="9:14" x14ac:dyDescent="0.2">
      <c r="I64" s="20"/>
      <c r="J64" s="20"/>
      <c r="K64" s="20"/>
      <c r="L64" s="20"/>
      <c r="M64" s="20"/>
      <c r="N64" s="20"/>
    </row>
  </sheetData>
  <sheetProtection password="EBAE" sheet="1"/>
  <mergeCells count="31">
    <mergeCell ref="B42:D42"/>
    <mergeCell ref="E33:G33"/>
    <mergeCell ref="B34:G34"/>
    <mergeCell ref="B36:D36"/>
    <mergeCell ref="B37:D37"/>
    <mergeCell ref="B38:D38"/>
    <mergeCell ref="B41:D41"/>
    <mergeCell ref="F19:G23"/>
    <mergeCell ref="B26:B27"/>
    <mergeCell ref="C26:C27"/>
    <mergeCell ref="E26:E27"/>
    <mergeCell ref="B29:E29"/>
    <mergeCell ref="F29:G30"/>
    <mergeCell ref="B30:D30"/>
    <mergeCell ref="B25:E25"/>
    <mergeCell ref="B9:E9"/>
    <mergeCell ref="B11:C11"/>
    <mergeCell ref="D11:E11"/>
    <mergeCell ref="B13:D13"/>
    <mergeCell ref="C14:D14"/>
    <mergeCell ref="C15:D15"/>
    <mergeCell ref="C16:D16"/>
    <mergeCell ref="C17:D17"/>
    <mergeCell ref="C18:D18"/>
    <mergeCell ref="C19:D19"/>
    <mergeCell ref="B7:G7"/>
    <mergeCell ref="B1:G1"/>
    <mergeCell ref="B3:G3"/>
    <mergeCell ref="B4:G4"/>
    <mergeCell ref="B5:G5"/>
    <mergeCell ref="B6:G6"/>
  </mergeCells>
  <dataValidations disablePrompts="1" count="2">
    <dataValidation allowBlank="1" showInputMessage="1" showErrorMessage="1" error="O valor inserido está fora dos limites estabelecidos pelo acórdão 2622/2013 do TCU ou é inválido." sqref="E14:E19 JA14:JA19 SW14:SW19 ACS14:ACS19 AMO14:AMO19 AWK14:AWK19 BGG14:BGG19 BQC14:BQC19 BZY14:BZY19 CJU14:CJU19 CTQ14:CTQ19 DDM14:DDM19 DNI14:DNI19 DXE14:DXE19 EHA14:EHA19 EQW14:EQW19 FAS14:FAS19 FKO14:FKO19 FUK14:FUK19 GEG14:GEG19 GOC14:GOC19 GXY14:GXY19 HHU14:HHU19 HRQ14:HRQ19 IBM14:IBM19 ILI14:ILI19 IVE14:IVE19 JFA14:JFA19 JOW14:JOW19 JYS14:JYS19 KIO14:KIO19 KSK14:KSK19 LCG14:LCG19 LMC14:LMC19 LVY14:LVY19 MFU14:MFU19 MPQ14:MPQ19 MZM14:MZM19 NJI14:NJI19 NTE14:NTE19 ODA14:ODA19 OMW14:OMW19 OWS14:OWS19 PGO14:PGO19 PQK14:PQK19 QAG14:QAG19 QKC14:QKC19 QTY14:QTY19 RDU14:RDU19 RNQ14:RNQ19 RXM14:RXM19 SHI14:SHI19 SRE14:SRE19 TBA14:TBA19 TKW14:TKW19 TUS14:TUS19 UEO14:UEO19 UOK14:UOK19 UYG14:UYG19 VIC14:VIC19 VRY14:VRY19 WBU14:WBU19 WLQ14:WLQ19 WVM14:WVM19 E65550:E65555 JA65550:JA65555 SW65550:SW65555 ACS65550:ACS65555 AMO65550:AMO65555 AWK65550:AWK65555 BGG65550:BGG65555 BQC65550:BQC65555 BZY65550:BZY65555 CJU65550:CJU65555 CTQ65550:CTQ65555 DDM65550:DDM65555 DNI65550:DNI65555 DXE65550:DXE65555 EHA65550:EHA65555 EQW65550:EQW65555 FAS65550:FAS65555 FKO65550:FKO65555 FUK65550:FUK65555 GEG65550:GEG65555 GOC65550:GOC65555 GXY65550:GXY65555 HHU65550:HHU65555 HRQ65550:HRQ65555 IBM65550:IBM65555 ILI65550:ILI65555 IVE65550:IVE65555 JFA65550:JFA65555 JOW65550:JOW65555 JYS65550:JYS65555 KIO65550:KIO65555 KSK65550:KSK65555 LCG65550:LCG65555 LMC65550:LMC65555 LVY65550:LVY65555 MFU65550:MFU65555 MPQ65550:MPQ65555 MZM65550:MZM65555 NJI65550:NJI65555 NTE65550:NTE65555 ODA65550:ODA65555 OMW65550:OMW65555 OWS65550:OWS65555 PGO65550:PGO65555 PQK65550:PQK65555 QAG65550:QAG65555 QKC65550:QKC65555 QTY65550:QTY65555 RDU65550:RDU65555 RNQ65550:RNQ65555 RXM65550:RXM65555 SHI65550:SHI65555 SRE65550:SRE65555 TBA65550:TBA65555 TKW65550:TKW65555 TUS65550:TUS65555 UEO65550:UEO65555 UOK65550:UOK65555 UYG65550:UYG65555 VIC65550:VIC65555 VRY65550:VRY65555 WBU65550:WBU65555 WLQ65550:WLQ65555 WVM65550:WVM65555 E131086:E131091 JA131086:JA131091 SW131086:SW131091 ACS131086:ACS131091 AMO131086:AMO131091 AWK131086:AWK131091 BGG131086:BGG131091 BQC131086:BQC131091 BZY131086:BZY131091 CJU131086:CJU131091 CTQ131086:CTQ131091 DDM131086:DDM131091 DNI131086:DNI131091 DXE131086:DXE131091 EHA131086:EHA131091 EQW131086:EQW131091 FAS131086:FAS131091 FKO131086:FKO131091 FUK131086:FUK131091 GEG131086:GEG131091 GOC131086:GOC131091 GXY131086:GXY131091 HHU131086:HHU131091 HRQ131086:HRQ131091 IBM131086:IBM131091 ILI131086:ILI131091 IVE131086:IVE131091 JFA131086:JFA131091 JOW131086:JOW131091 JYS131086:JYS131091 KIO131086:KIO131091 KSK131086:KSK131091 LCG131086:LCG131091 LMC131086:LMC131091 LVY131086:LVY131091 MFU131086:MFU131091 MPQ131086:MPQ131091 MZM131086:MZM131091 NJI131086:NJI131091 NTE131086:NTE131091 ODA131086:ODA131091 OMW131086:OMW131091 OWS131086:OWS131091 PGO131086:PGO131091 PQK131086:PQK131091 QAG131086:QAG131091 QKC131086:QKC131091 QTY131086:QTY131091 RDU131086:RDU131091 RNQ131086:RNQ131091 RXM131086:RXM131091 SHI131086:SHI131091 SRE131086:SRE131091 TBA131086:TBA131091 TKW131086:TKW131091 TUS131086:TUS131091 UEO131086:UEO131091 UOK131086:UOK131091 UYG131086:UYG131091 VIC131086:VIC131091 VRY131086:VRY131091 WBU131086:WBU131091 WLQ131086:WLQ131091 WVM131086:WVM131091 E196622:E196627 JA196622:JA196627 SW196622:SW196627 ACS196622:ACS196627 AMO196622:AMO196627 AWK196622:AWK196627 BGG196622:BGG196627 BQC196622:BQC196627 BZY196622:BZY196627 CJU196622:CJU196627 CTQ196622:CTQ196627 DDM196622:DDM196627 DNI196622:DNI196627 DXE196622:DXE196627 EHA196622:EHA196627 EQW196622:EQW196627 FAS196622:FAS196627 FKO196622:FKO196627 FUK196622:FUK196627 GEG196622:GEG196627 GOC196622:GOC196627 GXY196622:GXY196627 HHU196622:HHU196627 HRQ196622:HRQ196627 IBM196622:IBM196627 ILI196622:ILI196627 IVE196622:IVE196627 JFA196622:JFA196627 JOW196622:JOW196627 JYS196622:JYS196627 KIO196622:KIO196627 KSK196622:KSK196627 LCG196622:LCG196627 LMC196622:LMC196627 LVY196622:LVY196627 MFU196622:MFU196627 MPQ196622:MPQ196627 MZM196622:MZM196627 NJI196622:NJI196627 NTE196622:NTE196627 ODA196622:ODA196627 OMW196622:OMW196627 OWS196622:OWS196627 PGO196622:PGO196627 PQK196622:PQK196627 QAG196622:QAG196627 QKC196622:QKC196627 QTY196622:QTY196627 RDU196622:RDU196627 RNQ196622:RNQ196627 RXM196622:RXM196627 SHI196622:SHI196627 SRE196622:SRE196627 TBA196622:TBA196627 TKW196622:TKW196627 TUS196622:TUS196627 UEO196622:UEO196627 UOK196622:UOK196627 UYG196622:UYG196627 VIC196622:VIC196627 VRY196622:VRY196627 WBU196622:WBU196627 WLQ196622:WLQ196627 WVM196622:WVM196627 E262158:E262163 JA262158:JA262163 SW262158:SW262163 ACS262158:ACS262163 AMO262158:AMO262163 AWK262158:AWK262163 BGG262158:BGG262163 BQC262158:BQC262163 BZY262158:BZY262163 CJU262158:CJU262163 CTQ262158:CTQ262163 DDM262158:DDM262163 DNI262158:DNI262163 DXE262158:DXE262163 EHA262158:EHA262163 EQW262158:EQW262163 FAS262158:FAS262163 FKO262158:FKO262163 FUK262158:FUK262163 GEG262158:GEG262163 GOC262158:GOC262163 GXY262158:GXY262163 HHU262158:HHU262163 HRQ262158:HRQ262163 IBM262158:IBM262163 ILI262158:ILI262163 IVE262158:IVE262163 JFA262158:JFA262163 JOW262158:JOW262163 JYS262158:JYS262163 KIO262158:KIO262163 KSK262158:KSK262163 LCG262158:LCG262163 LMC262158:LMC262163 LVY262158:LVY262163 MFU262158:MFU262163 MPQ262158:MPQ262163 MZM262158:MZM262163 NJI262158:NJI262163 NTE262158:NTE262163 ODA262158:ODA262163 OMW262158:OMW262163 OWS262158:OWS262163 PGO262158:PGO262163 PQK262158:PQK262163 QAG262158:QAG262163 QKC262158:QKC262163 QTY262158:QTY262163 RDU262158:RDU262163 RNQ262158:RNQ262163 RXM262158:RXM262163 SHI262158:SHI262163 SRE262158:SRE262163 TBA262158:TBA262163 TKW262158:TKW262163 TUS262158:TUS262163 UEO262158:UEO262163 UOK262158:UOK262163 UYG262158:UYG262163 VIC262158:VIC262163 VRY262158:VRY262163 WBU262158:WBU262163 WLQ262158:WLQ262163 WVM262158:WVM262163 E327694:E327699 JA327694:JA327699 SW327694:SW327699 ACS327694:ACS327699 AMO327694:AMO327699 AWK327694:AWK327699 BGG327694:BGG327699 BQC327694:BQC327699 BZY327694:BZY327699 CJU327694:CJU327699 CTQ327694:CTQ327699 DDM327694:DDM327699 DNI327694:DNI327699 DXE327694:DXE327699 EHA327694:EHA327699 EQW327694:EQW327699 FAS327694:FAS327699 FKO327694:FKO327699 FUK327694:FUK327699 GEG327694:GEG327699 GOC327694:GOC327699 GXY327694:GXY327699 HHU327694:HHU327699 HRQ327694:HRQ327699 IBM327694:IBM327699 ILI327694:ILI327699 IVE327694:IVE327699 JFA327694:JFA327699 JOW327694:JOW327699 JYS327694:JYS327699 KIO327694:KIO327699 KSK327694:KSK327699 LCG327694:LCG327699 LMC327694:LMC327699 LVY327694:LVY327699 MFU327694:MFU327699 MPQ327694:MPQ327699 MZM327694:MZM327699 NJI327694:NJI327699 NTE327694:NTE327699 ODA327694:ODA327699 OMW327694:OMW327699 OWS327694:OWS327699 PGO327694:PGO327699 PQK327694:PQK327699 QAG327694:QAG327699 QKC327694:QKC327699 QTY327694:QTY327699 RDU327694:RDU327699 RNQ327694:RNQ327699 RXM327694:RXM327699 SHI327694:SHI327699 SRE327694:SRE327699 TBA327694:TBA327699 TKW327694:TKW327699 TUS327694:TUS327699 UEO327694:UEO327699 UOK327694:UOK327699 UYG327694:UYG327699 VIC327694:VIC327699 VRY327694:VRY327699 WBU327694:WBU327699 WLQ327694:WLQ327699 WVM327694:WVM327699 E393230:E393235 JA393230:JA393235 SW393230:SW393235 ACS393230:ACS393235 AMO393230:AMO393235 AWK393230:AWK393235 BGG393230:BGG393235 BQC393230:BQC393235 BZY393230:BZY393235 CJU393230:CJU393235 CTQ393230:CTQ393235 DDM393230:DDM393235 DNI393230:DNI393235 DXE393230:DXE393235 EHA393230:EHA393235 EQW393230:EQW393235 FAS393230:FAS393235 FKO393230:FKO393235 FUK393230:FUK393235 GEG393230:GEG393235 GOC393230:GOC393235 GXY393230:GXY393235 HHU393230:HHU393235 HRQ393230:HRQ393235 IBM393230:IBM393235 ILI393230:ILI393235 IVE393230:IVE393235 JFA393230:JFA393235 JOW393230:JOW393235 JYS393230:JYS393235 KIO393230:KIO393235 KSK393230:KSK393235 LCG393230:LCG393235 LMC393230:LMC393235 LVY393230:LVY393235 MFU393230:MFU393235 MPQ393230:MPQ393235 MZM393230:MZM393235 NJI393230:NJI393235 NTE393230:NTE393235 ODA393230:ODA393235 OMW393230:OMW393235 OWS393230:OWS393235 PGO393230:PGO393235 PQK393230:PQK393235 QAG393230:QAG393235 QKC393230:QKC393235 QTY393230:QTY393235 RDU393230:RDU393235 RNQ393230:RNQ393235 RXM393230:RXM393235 SHI393230:SHI393235 SRE393230:SRE393235 TBA393230:TBA393235 TKW393230:TKW393235 TUS393230:TUS393235 UEO393230:UEO393235 UOK393230:UOK393235 UYG393230:UYG393235 VIC393230:VIC393235 VRY393230:VRY393235 WBU393230:WBU393235 WLQ393230:WLQ393235 WVM393230:WVM393235 E458766:E458771 JA458766:JA458771 SW458766:SW458771 ACS458766:ACS458771 AMO458766:AMO458771 AWK458766:AWK458771 BGG458766:BGG458771 BQC458766:BQC458771 BZY458766:BZY458771 CJU458766:CJU458771 CTQ458766:CTQ458771 DDM458766:DDM458771 DNI458766:DNI458771 DXE458766:DXE458771 EHA458766:EHA458771 EQW458766:EQW458771 FAS458766:FAS458771 FKO458766:FKO458771 FUK458766:FUK458771 GEG458766:GEG458771 GOC458766:GOC458771 GXY458766:GXY458771 HHU458766:HHU458771 HRQ458766:HRQ458771 IBM458766:IBM458771 ILI458766:ILI458771 IVE458766:IVE458771 JFA458766:JFA458771 JOW458766:JOW458771 JYS458766:JYS458771 KIO458766:KIO458771 KSK458766:KSK458771 LCG458766:LCG458771 LMC458766:LMC458771 LVY458766:LVY458771 MFU458766:MFU458771 MPQ458766:MPQ458771 MZM458766:MZM458771 NJI458766:NJI458771 NTE458766:NTE458771 ODA458766:ODA458771 OMW458766:OMW458771 OWS458766:OWS458771 PGO458766:PGO458771 PQK458766:PQK458771 QAG458766:QAG458771 QKC458766:QKC458771 QTY458766:QTY458771 RDU458766:RDU458771 RNQ458766:RNQ458771 RXM458766:RXM458771 SHI458766:SHI458771 SRE458766:SRE458771 TBA458766:TBA458771 TKW458766:TKW458771 TUS458766:TUS458771 UEO458766:UEO458771 UOK458766:UOK458771 UYG458766:UYG458771 VIC458766:VIC458771 VRY458766:VRY458771 WBU458766:WBU458771 WLQ458766:WLQ458771 WVM458766:WVM458771 E524302:E524307 JA524302:JA524307 SW524302:SW524307 ACS524302:ACS524307 AMO524302:AMO524307 AWK524302:AWK524307 BGG524302:BGG524307 BQC524302:BQC524307 BZY524302:BZY524307 CJU524302:CJU524307 CTQ524302:CTQ524307 DDM524302:DDM524307 DNI524302:DNI524307 DXE524302:DXE524307 EHA524302:EHA524307 EQW524302:EQW524307 FAS524302:FAS524307 FKO524302:FKO524307 FUK524302:FUK524307 GEG524302:GEG524307 GOC524302:GOC524307 GXY524302:GXY524307 HHU524302:HHU524307 HRQ524302:HRQ524307 IBM524302:IBM524307 ILI524302:ILI524307 IVE524302:IVE524307 JFA524302:JFA524307 JOW524302:JOW524307 JYS524302:JYS524307 KIO524302:KIO524307 KSK524302:KSK524307 LCG524302:LCG524307 LMC524302:LMC524307 LVY524302:LVY524307 MFU524302:MFU524307 MPQ524302:MPQ524307 MZM524302:MZM524307 NJI524302:NJI524307 NTE524302:NTE524307 ODA524302:ODA524307 OMW524302:OMW524307 OWS524302:OWS524307 PGO524302:PGO524307 PQK524302:PQK524307 QAG524302:QAG524307 QKC524302:QKC524307 QTY524302:QTY524307 RDU524302:RDU524307 RNQ524302:RNQ524307 RXM524302:RXM524307 SHI524302:SHI524307 SRE524302:SRE524307 TBA524302:TBA524307 TKW524302:TKW524307 TUS524302:TUS524307 UEO524302:UEO524307 UOK524302:UOK524307 UYG524302:UYG524307 VIC524302:VIC524307 VRY524302:VRY524307 WBU524302:WBU524307 WLQ524302:WLQ524307 WVM524302:WVM524307 E589838:E589843 JA589838:JA589843 SW589838:SW589843 ACS589838:ACS589843 AMO589838:AMO589843 AWK589838:AWK589843 BGG589838:BGG589843 BQC589838:BQC589843 BZY589838:BZY589843 CJU589838:CJU589843 CTQ589838:CTQ589843 DDM589838:DDM589843 DNI589838:DNI589843 DXE589838:DXE589843 EHA589838:EHA589843 EQW589838:EQW589843 FAS589838:FAS589843 FKO589838:FKO589843 FUK589838:FUK589843 GEG589838:GEG589843 GOC589838:GOC589843 GXY589838:GXY589843 HHU589838:HHU589843 HRQ589838:HRQ589843 IBM589838:IBM589843 ILI589838:ILI589843 IVE589838:IVE589843 JFA589838:JFA589843 JOW589838:JOW589843 JYS589838:JYS589843 KIO589838:KIO589843 KSK589838:KSK589843 LCG589838:LCG589843 LMC589838:LMC589843 LVY589838:LVY589843 MFU589838:MFU589843 MPQ589838:MPQ589843 MZM589838:MZM589843 NJI589838:NJI589843 NTE589838:NTE589843 ODA589838:ODA589843 OMW589838:OMW589843 OWS589838:OWS589843 PGO589838:PGO589843 PQK589838:PQK589843 QAG589838:QAG589843 QKC589838:QKC589843 QTY589838:QTY589843 RDU589838:RDU589843 RNQ589838:RNQ589843 RXM589838:RXM589843 SHI589838:SHI589843 SRE589838:SRE589843 TBA589838:TBA589843 TKW589838:TKW589843 TUS589838:TUS589843 UEO589838:UEO589843 UOK589838:UOK589843 UYG589838:UYG589843 VIC589838:VIC589843 VRY589838:VRY589843 WBU589838:WBU589843 WLQ589838:WLQ589843 WVM589838:WVM589843 E655374:E655379 JA655374:JA655379 SW655374:SW655379 ACS655374:ACS655379 AMO655374:AMO655379 AWK655374:AWK655379 BGG655374:BGG655379 BQC655374:BQC655379 BZY655374:BZY655379 CJU655374:CJU655379 CTQ655374:CTQ655379 DDM655374:DDM655379 DNI655374:DNI655379 DXE655374:DXE655379 EHA655374:EHA655379 EQW655374:EQW655379 FAS655374:FAS655379 FKO655374:FKO655379 FUK655374:FUK655379 GEG655374:GEG655379 GOC655374:GOC655379 GXY655374:GXY655379 HHU655374:HHU655379 HRQ655374:HRQ655379 IBM655374:IBM655379 ILI655374:ILI655379 IVE655374:IVE655379 JFA655374:JFA655379 JOW655374:JOW655379 JYS655374:JYS655379 KIO655374:KIO655379 KSK655374:KSK655379 LCG655374:LCG655379 LMC655374:LMC655379 LVY655374:LVY655379 MFU655374:MFU655379 MPQ655374:MPQ655379 MZM655374:MZM655379 NJI655374:NJI655379 NTE655374:NTE655379 ODA655374:ODA655379 OMW655374:OMW655379 OWS655374:OWS655379 PGO655374:PGO655379 PQK655374:PQK655379 QAG655374:QAG655379 QKC655374:QKC655379 QTY655374:QTY655379 RDU655374:RDU655379 RNQ655374:RNQ655379 RXM655374:RXM655379 SHI655374:SHI655379 SRE655374:SRE655379 TBA655374:TBA655379 TKW655374:TKW655379 TUS655374:TUS655379 UEO655374:UEO655379 UOK655374:UOK655379 UYG655374:UYG655379 VIC655374:VIC655379 VRY655374:VRY655379 WBU655374:WBU655379 WLQ655374:WLQ655379 WVM655374:WVM655379 E720910:E720915 JA720910:JA720915 SW720910:SW720915 ACS720910:ACS720915 AMO720910:AMO720915 AWK720910:AWK720915 BGG720910:BGG720915 BQC720910:BQC720915 BZY720910:BZY720915 CJU720910:CJU720915 CTQ720910:CTQ720915 DDM720910:DDM720915 DNI720910:DNI720915 DXE720910:DXE720915 EHA720910:EHA720915 EQW720910:EQW720915 FAS720910:FAS720915 FKO720910:FKO720915 FUK720910:FUK720915 GEG720910:GEG720915 GOC720910:GOC720915 GXY720910:GXY720915 HHU720910:HHU720915 HRQ720910:HRQ720915 IBM720910:IBM720915 ILI720910:ILI720915 IVE720910:IVE720915 JFA720910:JFA720915 JOW720910:JOW720915 JYS720910:JYS720915 KIO720910:KIO720915 KSK720910:KSK720915 LCG720910:LCG720915 LMC720910:LMC720915 LVY720910:LVY720915 MFU720910:MFU720915 MPQ720910:MPQ720915 MZM720910:MZM720915 NJI720910:NJI720915 NTE720910:NTE720915 ODA720910:ODA720915 OMW720910:OMW720915 OWS720910:OWS720915 PGO720910:PGO720915 PQK720910:PQK720915 QAG720910:QAG720915 QKC720910:QKC720915 QTY720910:QTY720915 RDU720910:RDU720915 RNQ720910:RNQ720915 RXM720910:RXM720915 SHI720910:SHI720915 SRE720910:SRE720915 TBA720910:TBA720915 TKW720910:TKW720915 TUS720910:TUS720915 UEO720910:UEO720915 UOK720910:UOK720915 UYG720910:UYG720915 VIC720910:VIC720915 VRY720910:VRY720915 WBU720910:WBU720915 WLQ720910:WLQ720915 WVM720910:WVM720915 E786446:E786451 JA786446:JA786451 SW786446:SW786451 ACS786446:ACS786451 AMO786446:AMO786451 AWK786446:AWK786451 BGG786446:BGG786451 BQC786446:BQC786451 BZY786446:BZY786451 CJU786446:CJU786451 CTQ786446:CTQ786451 DDM786446:DDM786451 DNI786446:DNI786451 DXE786446:DXE786451 EHA786446:EHA786451 EQW786446:EQW786451 FAS786446:FAS786451 FKO786446:FKO786451 FUK786446:FUK786451 GEG786446:GEG786451 GOC786446:GOC786451 GXY786446:GXY786451 HHU786446:HHU786451 HRQ786446:HRQ786451 IBM786446:IBM786451 ILI786446:ILI786451 IVE786446:IVE786451 JFA786446:JFA786451 JOW786446:JOW786451 JYS786446:JYS786451 KIO786446:KIO786451 KSK786446:KSK786451 LCG786446:LCG786451 LMC786446:LMC786451 LVY786446:LVY786451 MFU786446:MFU786451 MPQ786446:MPQ786451 MZM786446:MZM786451 NJI786446:NJI786451 NTE786446:NTE786451 ODA786446:ODA786451 OMW786446:OMW786451 OWS786446:OWS786451 PGO786446:PGO786451 PQK786446:PQK786451 QAG786446:QAG786451 QKC786446:QKC786451 QTY786446:QTY786451 RDU786446:RDU786451 RNQ786446:RNQ786451 RXM786446:RXM786451 SHI786446:SHI786451 SRE786446:SRE786451 TBA786446:TBA786451 TKW786446:TKW786451 TUS786446:TUS786451 UEO786446:UEO786451 UOK786446:UOK786451 UYG786446:UYG786451 VIC786446:VIC786451 VRY786446:VRY786451 WBU786446:WBU786451 WLQ786446:WLQ786451 WVM786446:WVM786451 E851982:E851987 JA851982:JA851987 SW851982:SW851987 ACS851982:ACS851987 AMO851982:AMO851987 AWK851982:AWK851987 BGG851982:BGG851987 BQC851982:BQC851987 BZY851982:BZY851987 CJU851982:CJU851987 CTQ851982:CTQ851987 DDM851982:DDM851987 DNI851982:DNI851987 DXE851982:DXE851987 EHA851982:EHA851987 EQW851982:EQW851987 FAS851982:FAS851987 FKO851982:FKO851987 FUK851982:FUK851987 GEG851982:GEG851987 GOC851982:GOC851987 GXY851982:GXY851987 HHU851982:HHU851987 HRQ851982:HRQ851987 IBM851982:IBM851987 ILI851982:ILI851987 IVE851982:IVE851987 JFA851982:JFA851987 JOW851982:JOW851987 JYS851982:JYS851987 KIO851982:KIO851987 KSK851982:KSK851987 LCG851982:LCG851987 LMC851982:LMC851987 LVY851982:LVY851987 MFU851982:MFU851987 MPQ851982:MPQ851987 MZM851982:MZM851987 NJI851982:NJI851987 NTE851982:NTE851987 ODA851982:ODA851987 OMW851982:OMW851987 OWS851982:OWS851987 PGO851982:PGO851987 PQK851982:PQK851987 QAG851982:QAG851987 QKC851982:QKC851987 QTY851982:QTY851987 RDU851982:RDU851987 RNQ851982:RNQ851987 RXM851982:RXM851987 SHI851982:SHI851987 SRE851982:SRE851987 TBA851982:TBA851987 TKW851982:TKW851987 TUS851982:TUS851987 UEO851982:UEO851987 UOK851982:UOK851987 UYG851982:UYG851987 VIC851982:VIC851987 VRY851982:VRY851987 WBU851982:WBU851987 WLQ851982:WLQ851987 WVM851982:WVM851987 E917518:E917523 JA917518:JA917523 SW917518:SW917523 ACS917518:ACS917523 AMO917518:AMO917523 AWK917518:AWK917523 BGG917518:BGG917523 BQC917518:BQC917523 BZY917518:BZY917523 CJU917518:CJU917523 CTQ917518:CTQ917523 DDM917518:DDM917523 DNI917518:DNI917523 DXE917518:DXE917523 EHA917518:EHA917523 EQW917518:EQW917523 FAS917518:FAS917523 FKO917518:FKO917523 FUK917518:FUK917523 GEG917518:GEG917523 GOC917518:GOC917523 GXY917518:GXY917523 HHU917518:HHU917523 HRQ917518:HRQ917523 IBM917518:IBM917523 ILI917518:ILI917523 IVE917518:IVE917523 JFA917518:JFA917523 JOW917518:JOW917523 JYS917518:JYS917523 KIO917518:KIO917523 KSK917518:KSK917523 LCG917518:LCG917523 LMC917518:LMC917523 LVY917518:LVY917523 MFU917518:MFU917523 MPQ917518:MPQ917523 MZM917518:MZM917523 NJI917518:NJI917523 NTE917518:NTE917523 ODA917518:ODA917523 OMW917518:OMW917523 OWS917518:OWS917523 PGO917518:PGO917523 PQK917518:PQK917523 QAG917518:QAG917523 QKC917518:QKC917523 QTY917518:QTY917523 RDU917518:RDU917523 RNQ917518:RNQ917523 RXM917518:RXM917523 SHI917518:SHI917523 SRE917518:SRE917523 TBA917518:TBA917523 TKW917518:TKW917523 TUS917518:TUS917523 UEO917518:UEO917523 UOK917518:UOK917523 UYG917518:UYG917523 VIC917518:VIC917523 VRY917518:VRY917523 WBU917518:WBU917523 WLQ917518:WLQ917523 WVM917518:WVM917523 E983054:E983059 JA983054:JA983059 SW983054:SW983059 ACS983054:ACS983059 AMO983054:AMO983059 AWK983054:AWK983059 BGG983054:BGG983059 BQC983054:BQC983059 BZY983054:BZY983059 CJU983054:CJU983059 CTQ983054:CTQ983059 DDM983054:DDM983059 DNI983054:DNI983059 DXE983054:DXE983059 EHA983054:EHA983059 EQW983054:EQW983059 FAS983054:FAS983059 FKO983054:FKO983059 FUK983054:FUK983059 GEG983054:GEG983059 GOC983054:GOC983059 GXY983054:GXY983059 HHU983054:HHU983059 HRQ983054:HRQ983059 IBM983054:IBM983059 ILI983054:ILI983059 IVE983054:IVE983059 JFA983054:JFA983059 JOW983054:JOW983059 JYS983054:JYS983059 KIO983054:KIO983059 KSK983054:KSK983059 LCG983054:LCG983059 LMC983054:LMC983059 LVY983054:LVY983059 MFU983054:MFU983059 MPQ983054:MPQ983059 MZM983054:MZM983059 NJI983054:NJI983059 NTE983054:NTE983059 ODA983054:ODA983059 OMW983054:OMW983059 OWS983054:OWS983059 PGO983054:PGO983059 PQK983054:PQK983059 QAG983054:QAG983059 QKC983054:QKC983059 QTY983054:QTY983059 RDU983054:RDU983059 RNQ983054:RNQ983059 RXM983054:RXM983059 SHI983054:SHI983059 SRE983054:SRE983059 TBA983054:TBA983059 TKW983054:TKW983059 TUS983054:TUS983059 UEO983054:UEO983059 UOK983054:UOK983059 UYG983054:UYG983059 VIC983054:VIC983059 VRY983054:VRY983059 WBU983054:WBU983059 WLQ983054:WLQ983059 WVM983054:WVM983059" xr:uid="{00000000-0002-0000-0900-000000000000}"/>
    <dataValidation type="decimal" allowBlank="1" showInputMessage="1" showErrorMessage="1" error="O valor inserido está fora dos limites estabelecidos pelo acórdão 2622/2013 do TCU ou é inválido." sqref="E20:E23 JA20:JA23 SW20:SW23 ACS20:ACS23 AMO20:AMO23 AWK20:AWK23 BGG20:BGG23 BQC20:BQC23 BZY20:BZY23 CJU20:CJU23 CTQ20:CTQ23 DDM20:DDM23 DNI20:DNI23 DXE20:DXE23 EHA20:EHA23 EQW20:EQW23 FAS20:FAS23 FKO20:FKO23 FUK20:FUK23 GEG20:GEG23 GOC20:GOC23 GXY20:GXY23 HHU20:HHU23 HRQ20:HRQ23 IBM20:IBM23 ILI20:ILI23 IVE20:IVE23 JFA20:JFA23 JOW20:JOW23 JYS20:JYS23 KIO20:KIO23 KSK20:KSK23 LCG20:LCG23 LMC20:LMC23 LVY20:LVY23 MFU20:MFU23 MPQ20:MPQ23 MZM20:MZM23 NJI20:NJI23 NTE20:NTE23 ODA20:ODA23 OMW20:OMW23 OWS20:OWS23 PGO20:PGO23 PQK20:PQK23 QAG20:QAG23 QKC20:QKC23 QTY20:QTY23 RDU20:RDU23 RNQ20:RNQ23 RXM20:RXM23 SHI20:SHI23 SRE20:SRE23 TBA20:TBA23 TKW20:TKW23 TUS20:TUS23 UEO20:UEO23 UOK20:UOK23 UYG20:UYG23 VIC20:VIC23 VRY20:VRY23 WBU20:WBU23 WLQ20:WLQ23 WVM20:WVM23 E65556:E65559 JA65556:JA65559 SW65556:SW65559 ACS65556:ACS65559 AMO65556:AMO65559 AWK65556:AWK65559 BGG65556:BGG65559 BQC65556:BQC65559 BZY65556:BZY65559 CJU65556:CJU65559 CTQ65556:CTQ65559 DDM65556:DDM65559 DNI65556:DNI65559 DXE65556:DXE65559 EHA65556:EHA65559 EQW65556:EQW65559 FAS65556:FAS65559 FKO65556:FKO65559 FUK65556:FUK65559 GEG65556:GEG65559 GOC65556:GOC65559 GXY65556:GXY65559 HHU65556:HHU65559 HRQ65556:HRQ65559 IBM65556:IBM65559 ILI65556:ILI65559 IVE65556:IVE65559 JFA65556:JFA65559 JOW65556:JOW65559 JYS65556:JYS65559 KIO65556:KIO65559 KSK65556:KSK65559 LCG65556:LCG65559 LMC65556:LMC65559 LVY65556:LVY65559 MFU65556:MFU65559 MPQ65556:MPQ65559 MZM65556:MZM65559 NJI65556:NJI65559 NTE65556:NTE65559 ODA65556:ODA65559 OMW65556:OMW65559 OWS65556:OWS65559 PGO65556:PGO65559 PQK65556:PQK65559 QAG65556:QAG65559 QKC65556:QKC65559 QTY65556:QTY65559 RDU65556:RDU65559 RNQ65556:RNQ65559 RXM65556:RXM65559 SHI65556:SHI65559 SRE65556:SRE65559 TBA65556:TBA65559 TKW65556:TKW65559 TUS65556:TUS65559 UEO65556:UEO65559 UOK65556:UOK65559 UYG65556:UYG65559 VIC65556:VIC65559 VRY65556:VRY65559 WBU65556:WBU65559 WLQ65556:WLQ65559 WVM65556:WVM65559 E131092:E131095 JA131092:JA131095 SW131092:SW131095 ACS131092:ACS131095 AMO131092:AMO131095 AWK131092:AWK131095 BGG131092:BGG131095 BQC131092:BQC131095 BZY131092:BZY131095 CJU131092:CJU131095 CTQ131092:CTQ131095 DDM131092:DDM131095 DNI131092:DNI131095 DXE131092:DXE131095 EHA131092:EHA131095 EQW131092:EQW131095 FAS131092:FAS131095 FKO131092:FKO131095 FUK131092:FUK131095 GEG131092:GEG131095 GOC131092:GOC131095 GXY131092:GXY131095 HHU131092:HHU131095 HRQ131092:HRQ131095 IBM131092:IBM131095 ILI131092:ILI131095 IVE131092:IVE131095 JFA131092:JFA131095 JOW131092:JOW131095 JYS131092:JYS131095 KIO131092:KIO131095 KSK131092:KSK131095 LCG131092:LCG131095 LMC131092:LMC131095 LVY131092:LVY131095 MFU131092:MFU131095 MPQ131092:MPQ131095 MZM131092:MZM131095 NJI131092:NJI131095 NTE131092:NTE131095 ODA131092:ODA131095 OMW131092:OMW131095 OWS131092:OWS131095 PGO131092:PGO131095 PQK131092:PQK131095 QAG131092:QAG131095 QKC131092:QKC131095 QTY131092:QTY131095 RDU131092:RDU131095 RNQ131092:RNQ131095 RXM131092:RXM131095 SHI131092:SHI131095 SRE131092:SRE131095 TBA131092:TBA131095 TKW131092:TKW131095 TUS131092:TUS131095 UEO131092:UEO131095 UOK131092:UOK131095 UYG131092:UYG131095 VIC131092:VIC131095 VRY131092:VRY131095 WBU131092:WBU131095 WLQ131092:WLQ131095 WVM131092:WVM131095 E196628:E196631 JA196628:JA196631 SW196628:SW196631 ACS196628:ACS196631 AMO196628:AMO196631 AWK196628:AWK196631 BGG196628:BGG196631 BQC196628:BQC196631 BZY196628:BZY196631 CJU196628:CJU196631 CTQ196628:CTQ196631 DDM196628:DDM196631 DNI196628:DNI196631 DXE196628:DXE196631 EHA196628:EHA196631 EQW196628:EQW196631 FAS196628:FAS196631 FKO196628:FKO196631 FUK196628:FUK196631 GEG196628:GEG196631 GOC196628:GOC196631 GXY196628:GXY196631 HHU196628:HHU196631 HRQ196628:HRQ196631 IBM196628:IBM196631 ILI196628:ILI196631 IVE196628:IVE196631 JFA196628:JFA196631 JOW196628:JOW196631 JYS196628:JYS196631 KIO196628:KIO196631 KSK196628:KSK196631 LCG196628:LCG196631 LMC196628:LMC196631 LVY196628:LVY196631 MFU196628:MFU196631 MPQ196628:MPQ196631 MZM196628:MZM196631 NJI196628:NJI196631 NTE196628:NTE196631 ODA196628:ODA196631 OMW196628:OMW196631 OWS196628:OWS196631 PGO196628:PGO196631 PQK196628:PQK196631 QAG196628:QAG196631 QKC196628:QKC196631 QTY196628:QTY196631 RDU196628:RDU196631 RNQ196628:RNQ196631 RXM196628:RXM196631 SHI196628:SHI196631 SRE196628:SRE196631 TBA196628:TBA196631 TKW196628:TKW196631 TUS196628:TUS196631 UEO196628:UEO196631 UOK196628:UOK196631 UYG196628:UYG196631 VIC196628:VIC196631 VRY196628:VRY196631 WBU196628:WBU196631 WLQ196628:WLQ196631 WVM196628:WVM196631 E262164:E262167 JA262164:JA262167 SW262164:SW262167 ACS262164:ACS262167 AMO262164:AMO262167 AWK262164:AWK262167 BGG262164:BGG262167 BQC262164:BQC262167 BZY262164:BZY262167 CJU262164:CJU262167 CTQ262164:CTQ262167 DDM262164:DDM262167 DNI262164:DNI262167 DXE262164:DXE262167 EHA262164:EHA262167 EQW262164:EQW262167 FAS262164:FAS262167 FKO262164:FKO262167 FUK262164:FUK262167 GEG262164:GEG262167 GOC262164:GOC262167 GXY262164:GXY262167 HHU262164:HHU262167 HRQ262164:HRQ262167 IBM262164:IBM262167 ILI262164:ILI262167 IVE262164:IVE262167 JFA262164:JFA262167 JOW262164:JOW262167 JYS262164:JYS262167 KIO262164:KIO262167 KSK262164:KSK262167 LCG262164:LCG262167 LMC262164:LMC262167 LVY262164:LVY262167 MFU262164:MFU262167 MPQ262164:MPQ262167 MZM262164:MZM262167 NJI262164:NJI262167 NTE262164:NTE262167 ODA262164:ODA262167 OMW262164:OMW262167 OWS262164:OWS262167 PGO262164:PGO262167 PQK262164:PQK262167 QAG262164:QAG262167 QKC262164:QKC262167 QTY262164:QTY262167 RDU262164:RDU262167 RNQ262164:RNQ262167 RXM262164:RXM262167 SHI262164:SHI262167 SRE262164:SRE262167 TBA262164:TBA262167 TKW262164:TKW262167 TUS262164:TUS262167 UEO262164:UEO262167 UOK262164:UOK262167 UYG262164:UYG262167 VIC262164:VIC262167 VRY262164:VRY262167 WBU262164:WBU262167 WLQ262164:WLQ262167 WVM262164:WVM262167 E327700:E327703 JA327700:JA327703 SW327700:SW327703 ACS327700:ACS327703 AMO327700:AMO327703 AWK327700:AWK327703 BGG327700:BGG327703 BQC327700:BQC327703 BZY327700:BZY327703 CJU327700:CJU327703 CTQ327700:CTQ327703 DDM327700:DDM327703 DNI327700:DNI327703 DXE327700:DXE327703 EHA327700:EHA327703 EQW327700:EQW327703 FAS327700:FAS327703 FKO327700:FKO327703 FUK327700:FUK327703 GEG327700:GEG327703 GOC327700:GOC327703 GXY327700:GXY327703 HHU327700:HHU327703 HRQ327700:HRQ327703 IBM327700:IBM327703 ILI327700:ILI327703 IVE327700:IVE327703 JFA327700:JFA327703 JOW327700:JOW327703 JYS327700:JYS327703 KIO327700:KIO327703 KSK327700:KSK327703 LCG327700:LCG327703 LMC327700:LMC327703 LVY327700:LVY327703 MFU327700:MFU327703 MPQ327700:MPQ327703 MZM327700:MZM327703 NJI327700:NJI327703 NTE327700:NTE327703 ODA327700:ODA327703 OMW327700:OMW327703 OWS327700:OWS327703 PGO327700:PGO327703 PQK327700:PQK327703 QAG327700:QAG327703 QKC327700:QKC327703 QTY327700:QTY327703 RDU327700:RDU327703 RNQ327700:RNQ327703 RXM327700:RXM327703 SHI327700:SHI327703 SRE327700:SRE327703 TBA327700:TBA327703 TKW327700:TKW327703 TUS327700:TUS327703 UEO327700:UEO327703 UOK327700:UOK327703 UYG327700:UYG327703 VIC327700:VIC327703 VRY327700:VRY327703 WBU327700:WBU327703 WLQ327700:WLQ327703 WVM327700:WVM327703 E393236:E393239 JA393236:JA393239 SW393236:SW393239 ACS393236:ACS393239 AMO393236:AMO393239 AWK393236:AWK393239 BGG393236:BGG393239 BQC393236:BQC393239 BZY393236:BZY393239 CJU393236:CJU393239 CTQ393236:CTQ393239 DDM393236:DDM393239 DNI393236:DNI393239 DXE393236:DXE393239 EHA393236:EHA393239 EQW393236:EQW393239 FAS393236:FAS393239 FKO393236:FKO393239 FUK393236:FUK393239 GEG393236:GEG393239 GOC393236:GOC393239 GXY393236:GXY393239 HHU393236:HHU393239 HRQ393236:HRQ393239 IBM393236:IBM393239 ILI393236:ILI393239 IVE393236:IVE393239 JFA393236:JFA393239 JOW393236:JOW393239 JYS393236:JYS393239 KIO393236:KIO393239 KSK393236:KSK393239 LCG393236:LCG393239 LMC393236:LMC393239 LVY393236:LVY393239 MFU393236:MFU393239 MPQ393236:MPQ393239 MZM393236:MZM393239 NJI393236:NJI393239 NTE393236:NTE393239 ODA393236:ODA393239 OMW393236:OMW393239 OWS393236:OWS393239 PGO393236:PGO393239 PQK393236:PQK393239 QAG393236:QAG393239 QKC393236:QKC393239 QTY393236:QTY393239 RDU393236:RDU393239 RNQ393236:RNQ393239 RXM393236:RXM393239 SHI393236:SHI393239 SRE393236:SRE393239 TBA393236:TBA393239 TKW393236:TKW393239 TUS393236:TUS393239 UEO393236:UEO393239 UOK393236:UOK393239 UYG393236:UYG393239 VIC393236:VIC393239 VRY393236:VRY393239 WBU393236:WBU393239 WLQ393236:WLQ393239 WVM393236:WVM393239 E458772:E458775 JA458772:JA458775 SW458772:SW458775 ACS458772:ACS458775 AMO458772:AMO458775 AWK458772:AWK458775 BGG458772:BGG458775 BQC458772:BQC458775 BZY458772:BZY458775 CJU458772:CJU458775 CTQ458772:CTQ458775 DDM458772:DDM458775 DNI458772:DNI458775 DXE458772:DXE458775 EHA458772:EHA458775 EQW458772:EQW458775 FAS458772:FAS458775 FKO458772:FKO458775 FUK458772:FUK458775 GEG458772:GEG458775 GOC458772:GOC458775 GXY458772:GXY458775 HHU458772:HHU458775 HRQ458772:HRQ458775 IBM458772:IBM458775 ILI458772:ILI458775 IVE458772:IVE458775 JFA458772:JFA458775 JOW458772:JOW458775 JYS458772:JYS458775 KIO458772:KIO458775 KSK458772:KSK458775 LCG458772:LCG458775 LMC458772:LMC458775 LVY458772:LVY458775 MFU458772:MFU458775 MPQ458772:MPQ458775 MZM458772:MZM458775 NJI458772:NJI458775 NTE458772:NTE458775 ODA458772:ODA458775 OMW458772:OMW458775 OWS458772:OWS458775 PGO458772:PGO458775 PQK458772:PQK458775 QAG458772:QAG458775 QKC458772:QKC458775 QTY458772:QTY458775 RDU458772:RDU458775 RNQ458772:RNQ458775 RXM458772:RXM458775 SHI458772:SHI458775 SRE458772:SRE458775 TBA458772:TBA458775 TKW458772:TKW458775 TUS458772:TUS458775 UEO458772:UEO458775 UOK458772:UOK458775 UYG458772:UYG458775 VIC458772:VIC458775 VRY458772:VRY458775 WBU458772:WBU458775 WLQ458772:WLQ458775 WVM458772:WVM458775 E524308:E524311 JA524308:JA524311 SW524308:SW524311 ACS524308:ACS524311 AMO524308:AMO524311 AWK524308:AWK524311 BGG524308:BGG524311 BQC524308:BQC524311 BZY524308:BZY524311 CJU524308:CJU524311 CTQ524308:CTQ524311 DDM524308:DDM524311 DNI524308:DNI524311 DXE524308:DXE524311 EHA524308:EHA524311 EQW524308:EQW524311 FAS524308:FAS524311 FKO524308:FKO524311 FUK524308:FUK524311 GEG524308:GEG524311 GOC524308:GOC524311 GXY524308:GXY524311 HHU524308:HHU524311 HRQ524308:HRQ524311 IBM524308:IBM524311 ILI524308:ILI524311 IVE524308:IVE524311 JFA524308:JFA524311 JOW524308:JOW524311 JYS524308:JYS524311 KIO524308:KIO524311 KSK524308:KSK524311 LCG524308:LCG524311 LMC524308:LMC524311 LVY524308:LVY524311 MFU524308:MFU524311 MPQ524308:MPQ524311 MZM524308:MZM524311 NJI524308:NJI524311 NTE524308:NTE524311 ODA524308:ODA524311 OMW524308:OMW524311 OWS524308:OWS524311 PGO524308:PGO524311 PQK524308:PQK524311 QAG524308:QAG524311 QKC524308:QKC524311 QTY524308:QTY524311 RDU524308:RDU524311 RNQ524308:RNQ524311 RXM524308:RXM524311 SHI524308:SHI524311 SRE524308:SRE524311 TBA524308:TBA524311 TKW524308:TKW524311 TUS524308:TUS524311 UEO524308:UEO524311 UOK524308:UOK524311 UYG524308:UYG524311 VIC524308:VIC524311 VRY524308:VRY524311 WBU524308:WBU524311 WLQ524308:WLQ524311 WVM524308:WVM524311 E589844:E589847 JA589844:JA589847 SW589844:SW589847 ACS589844:ACS589847 AMO589844:AMO589847 AWK589844:AWK589847 BGG589844:BGG589847 BQC589844:BQC589847 BZY589844:BZY589847 CJU589844:CJU589847 CTQ589844:CTQ589847 DDM589844:DDM589847 DNI589844:DNI589847 DXE589844:DXE589847 EHA589844:EHA589847 EQW589844:EQW589847 FAS589844:FAS589847 FKO589844:FKO589847 FUK589844:FUK589847 GEG589844:GEG589847 GOC589844:GOC589847 GXY589844:GXY589847 HHU589844:HHU589847 HRQ589844:HRQ589847 IBM589844:IBM589847 ILI589844:ILI589847 IVE589844:IVE589847 JFA589844:JFA589847 JOW589844:JOW589847 JYS589844:JYS589847 KIO589844:KIO589847 KSK589844:KSK589847 LCG589844:LCG589847 LMC589844:LMC589847 LVY589844:LVY589847 MFU589844:MFU589847 MPQ589844:MPQ589847 MZM589844:MZM589847 NJI589844:NJI589847 NTE589844:NTE589847 ODA589844:ODA589847 OMW589844:OMW589847 OWS589844:OWS589847 PGO589844:PGO589847 PQK589844:PQK589847 QAG589844:QAG589847 QKC589844:QKC589847 QTY589844:QTY589847 RDU589844:RDU589847 RNQ589844:RNQ589847 RXM589844:RXM589847 SHI589844:SHI589847 SRE589844:SRE589847 TBA589844:TBA589847 TKW589844:TKW589847 TUS589844:TUS589847 UEO589844:UEO589847 UOK589844:UOK589847 UYG589844:UYG589847 VIC589844:VIC589847 VRY589844:VRY589847 WBU589844:WBU589847 WLQ589844:WLQ589847 WVM589844:WVM589847 E655380:E655383 JA655380:JA655383 SW655380:SW655383 ACS655380:ACS655383 AMO655380:AMO655383 AWK655380:AWK655383 BGG655380:BGG655383 BQC655380:BQC655383 BZY655380:BZY655383 CJU655380:CJU655383 CTQ655380:CTQ655383 DDM655380:DDM655383 DNI655380:DNI655383 DXE655380:DXE655383 EHA655380:EHA655383 EQW655380:EQW655383 FAS655380:FAS655383 FKO655380:FKO655383 FUK655380:FUK655383 GEG655380:GEG655383 GOC655380:GOC655383 GXY655380:GXY655383 HHU655380:HHU655383 HRQ655380:HRQ655383 IBM655380:IBM655383 ILI655380:ILI655383 IVE655380:IVE655383 JFA655380:JFA655383 JOW655380:JOW655383 JYS655380:JYS655383 KIO655380:KIO655383 KSK655380:KSK655383 LCG655380:LCG655383 LMC655380:LMC655383 LVY655380:LVY655383 MFU655380:MFU655383 MPQ655380:MPQ655383 MZM655380:MZM655383 NJI655380:NJI655383 NTE655380:NTE655383 ODA655380:ODA655383 OMW655380:OMW655383 OWS655380:OWS655383 PGO655380:PGO655383 PQK655380:PQK655383 QAG655380:QAG655383 QKC655380:QKC655383 QTY655380:QTY655383 RDU655380:RDU655383 RNQ655380:RNQ655383 RXM655380:RXM655383 SHI655380:SHI655383 SRE655380:SRE655383 TBA655380:TBA655383 TKW655380:TKW655383 TUS655380:TUS655383 UEO655380:UEO655383 UOK655380:UOK655383 UYG655380:UYG655383 VIC655380:VIC655383 VRY655380:VRY655383 WBU655380:WBU655383 WLQ655380:WLQ655383 WVM655380:WVM655383 E720916:E720919 JA720916:JA720919 SW720916:SW720919 ACS720916:ACS720919 AMO720916:AMO720919 AWK720916:AWK720919 BGG720916:BGG720919 BQC720916:BQC720919 BZY720916:BZY720919 CJU720916:CJU720919 CTQ720916:CTQ720919 DDM720916:DDM720919 DNI720916:DNI720919 DXE720916:DXE720919 EHA720916:EHA720919 EQW720916:EQW720919 FAS720916:FAS720919 FKO720916:FKO720919 FUK720916:FUK720919 GEG720916:GEG720919 GOC720916:GOC720919 GXY720916:GXY720919 HHU720916:HHU720919 HRQ720916:HRQ720919 IBM720916:IBM720919 ILI720916:ILI720919 IVE720916:IVE720919 JFA720916:JFA720919 JOW720916:JOW720919 JYS720916:JYS720919 KIO720916:KIO720919 KSK720916:KSK720919 LCG720916:LCG720919 LMC720916:LMC720919 LVY720916:LVY720919 MFU720916:MFU720919 MPQ720916:MPQ720919 MZM720916:MZM720919 NJI720916:NJI720919 NTE720916:NTE720919 ODA720916:ODA720919 OMW720916:OMW720919 OWS720916:OWS720919 PGO720916:PGO720919 PQK720916:PQK720919 QAG720916:QAG720919 QKC720916:QKC720919 QTY720916:QTY720919 RDU720916:RDU720919 RNQ720916:RNQ720919 RXM720916:RXM720919 SHI720916:SHI720919 SRE720916:SRE720919 TBA720916:TBA720919 TKW720916:TKW720919 TUS720916:TUS720919 UEO720916:UEO720919 UOK720916:UOK720919 UYG720916:UYG720919 VIC720916:VIC720919 VRY720916:VRY720919 WBU720916:WBU720919 WLQ720916:WLQ720919 WVM720916:WVM720919 E786452:E786455 JA786452:JA786455 SW786452:SW786455 ACS786452:ACS786455 AMO786452:AMO786455 AWK786452:AWK786455 BGG786452:BGG786455 BQC786452:BQC786455 BZY786452:BZY786455 CJU786452:CJU786455 CTQ786452:CTQ786455 DDM786452:DDM786455 DNI786452:DNI786455 DXE786452:DXE786455 EHA786452:EHA786455 EQW786452:EQW786455 FAS786452:FAS786455 FKO786452:FKO786455 FUK786452:FUK786455 GEG786452:GEG786455 GOC786452:GOC786455 GXY786452:GXY786455 HHU786452:HHU786455 HRQ786452:HRQ786455 IBM786452:IBM786455 ILI786452:ILI786455 IVE786452:IVE786455 JFA786452:JFA786455 JOW786452:JOW786455 JYS786452:JYS786455 KIO786452:KIO786455 KSK786452:KSK786455 LCG786452:LCG786455 LMC786452:LMC786455 LVY786452:LVY786455 MFU786452:MFU786455 MPQ786452:MPQ786455 MZM786452:MZM786455 NJI786452:NJI786455 NTE786452:NTE786455 ODA786452:ODA786455 OMW786452:OMW786455 OWS786452:OWS786455 PGO786452:PGO786455 PQK786452:PQK786455 QAG786452:QAG786455 QKC786452:QKC786455 QTY786452:QTY786455 RDU786452:RDU786455 RNQ786452:RNQ786455 RXM786452:RXM786455 SHI786452:SHI786455 SRE786452:SRE786455 TBA786452:TBA786455 TKW786452:TKW786455 TUS786452:TUS786455 UEO786452:UEO786455 UOK786452:UOK786455 UYG786452:UYG786455 VIC786452:VIC786455 VRY786452:VRY786455 WBU786452:WBU786455 WLQ786452:WLQ786455 WVM786452:WVM786455 E851988:E851991 JA851988:JA851991 SW851988:SW851991 ACS851988:ACS851991 AMO851988:AMO851991 AWK851988:AWK851991 BGG851988:BGG851991 BQC851988:BQC851991 BZY851988:BZY851991 CJU851988:CJU851991 CTQ851988:CTQ851991 DDM851988:DDM851991 DNI851988:DNI851991 DXE851988:DXE851991 EHA851988:EHA851991 EQW851988:EQW851991 FAS851988:FAS851991 FKO851988:FKO851991 FUK851988:FUK851991 GEG851988:GEG851991 GOC851988:GOC851991 GXY851988:GXY851991 HHU851988:HHU851991 HRQ851988:HRQ851991 IBM851988:IBM851991 ILI851988:ILI851991 IVE851988:IVE851991 JFA851988:JFA851991 JOW851988:JOW851991 JYS851988:JYS851991 KIO851988:KIO851991 KSK851988:KSK851991 LCG851988:LCG851991 LMC851988:LMC851991 LVY851988:LVY851991 MFU851988:MFU851991 MPQ851988:MPQ851991 MZM851988:MZM851991 NJI851988:NJI851991 NTE851988:NTE851991 ODA851988:ODA851991 OMW851988:OMW851991 OWS851988:OWS851991 PGO851988:PGO851991 PQK851988:PQK851991 QAG851988:QAG851991 QKC851988:QKC851991 QTY851988:QTY851991 RDU851988:RDU851991 RNQ851988:RNQ851991 RXM851988:RXM851991 SHI851988:SHI851991 SRE851988:SRE851991 TBA851988:TBA851991 TKW851988:TKW851991 TUS851988:TUS851991 UEO851988:UEO851991 UOK851988:UOK851991 UYG851988:UYG851991 VIC851988:VIC851991 VRY851988:VRY851991 WBU851988:WBU851991 WLQ851988:WLQ851991 WVM851988:WVM851991 E917524:E917527 JA917524:JA917527 SW917524:SW917527 ACS917524:ACS917527 AMO917524:AMO917527 AWK917524:AWK917527 BGG917524:BGG917527 BQC917524:BQC917527 BZY917524:BZY917527 CJU917524:CJU917527 CTQ917524:CTQ917527 DDM917524:DDM917527 DNI917524:DNI917527 DXE917524:DXE917527 EHA917524:EHA917527 EQW917524:EQW917527 FAS917524:FAS917527 FKO917524:FKO917527 FUK917524:FUK917527 GEG917524:GEG917527 GOC917524:GOC917527 GXY917524:GXY917527 HHU917524:HHU917527 HRQ917524:HRQ917527 IBM917524:IBM917527 ILI917524:ILI917527 IVE917524:IVE917527 JFA917524:JFA917527 JOW917524:JOW917527 JYS917524:JYS917527 KIO917524:KIO917527 KSK917524:KSK917527 LCG917524:LCG917527 LMC917524:LMC917527 LVY917524:LVY917527 MFU917524:MFU917527 MPQ917524:MPQ917527 MZM917524:MZM917527 NJI917524:NJI917527 NTE917524:NTE917527 ODA917524:ODA917527 OMW917524:OMW917527 OWS917524:OWS917527 PGO917524:PGO917527 PQK917524:PQK917527 QAG917524:QAG917527 QKC917524:QKC917527 QTY917524:QTY917527 RDU917524:RDU917527 RNQ917524:RNQ917527 RXM917524:RXM917527 SHI917524:SHI917527 SRE917524:SRE917527 TBA917524:TBA917527 TKW917524:TKW917527 TUS917524:TUS917527 UEO917524:UEO917527 UOK917524:UOK917527 UYG917524:UYG917527 VIC917524:VIC917527 VRY917524:VRY917527 WBU917524:WBU917527 WLQ917524:WLQ917527 WVM917524:WVM917527 E983060:E983063 JA983060:JA983063 SW983060:SW983063 ACS983060:ACS983063 AMO983060:AMO983063 AWK983060:AWK983063 BGG983060:BGG983063 BQC983060:BQC983063 BZY983060:BZY983063 CJU983060:CJU983063 CTQ983060:CTQ983063 DDM983060:DDM983063 DNI983060:DNI983063 DXE983060:DXE983063 EHA983060:EHA983063 EQW983060:EQW983063 FAS983060:FAS983063 FKO983060:FKO983063 FUK983060:FUK983063 GEG983060:GEG983063 GOC983060:GOC983063 GXY983060:GXY983063 HHU983060:HHU983063 HRQ983060:HRQ983063 IBM983060:IBM983063 ILI983060:ILI983063 IVE983060:IVE983063 JFA983060:JFA983063 JOW983060:JOW983063 JYS983060:JYS983063 KIO983060:KIO983063 KSK983060:KSK983063 LCG983060:LCG983063 LMC983060:LMC983063 LVY983060:LVY983063 MFU983060:MFU983063 MPQ983060:MPQ983063 MZM983060:MZM983063 NJI983060:NJI983063 NTE983060:NTE983063 ODA983060:ODA983063 OMW983060:OMW983063 OWS983060:OWS983063 PGO983060:PGO983063 PQK983060:PQK983063 QAG983060:QAG983063 QKC983060:QKC983063 QTY983060:QTY983063 RDU983060:RDU983063 RNQ983060:RNQ983063 RXM983060:RXM983063 SHI983060:SHI983063 SRE983060:SRE983063 TBA983060:TBA983063 TKW983060:TKW983063 TUS983060:TUS983063 UEO983060:UEO983063 UOK983060:UOK983063 UYG983060:UYG983063 VIC983060:VIC983063 VRY983060:VRY983063 WBU983060:WBU983063 WLQ983060:WLQ983063 WVM983060:WVM983063" xr:uid="{00000000-0002-0000-0900-000001000000}">
      <formula1>F20</formula1>
      <formula2>G20</formula2>
    </dataValidation>
  </dataValidations>
  <pageMargins left="0.98425196850393704" right="0.39370078740157483" top="0.78740157480314965" bottom="0.78740157480314965" header="0" footer="0"/>
  <pageSetup paperSize="9" orientation="portrait" cellComments="asDisplayed" r:id="rId1"/>
  <headerFooter>
    <oddHeader>&amp;C&amp;G</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
  <dimension ref="B2:Q89"/>
  <sheetViews>
    <sheetView zoomScaleNormal="100" zoomScalePageLayoutView="80" workbookViewId="0">
      <selection activeCell="E9" sqref="E9:F9"/>
    </sheetView>
  </sheetViews>
  <sheetFormatPr defaultRowHeight="12.75" x14ac:dyDescent="0.2"/>
  <cols>
    <col min="1" max="1" width="2.28515625" style="18" customWidth="1"/>
    <col min="2" max="3" width="6" style="18" customWidth="1"/>
    <col min="4" max="4" width="10.42578125" style="18" customWidth="1"/>
    <col min="5" max="5" width="20.140625" style="18" customWidth="1"/>
    <col min="6" max="6" width="27.5703125" style="18" customWidth="1"/>
    <col min="7" max="7" width="11.28515625" style="18" customWidth="1"/>
    <col min="8" max="8" width="11" style="19" customWidth="1"/>
    <col min="9" max="9" width="9.140625" style="18"/>
    <col min="10" max="10" width="2.7109375" style="18" customWidth="1"/>
    <col min="11" max="14" width="9.140625" style="20"/>
    <col min="15" max="256" width="9.140625" style="18"/>
    <col min="257" max="257" width="2.28515625" style="18" customWidth="1"/>
    <col min="258" max="259" width="6" style="18" customWidth="1"/>
    <col min="260" max="260" width="10.42578125" style="18" customWidth="1"/>
    <col min="261" max="261" width="20.140625" style="18" customWidth="1"/>
    <col min="262" max="262" width="27.5703125" style="18" customWidth="1"/>
    <col min="263" max="263" width="11.28515625" style="18" customWidth="1"/>
    <col min="264" max="264" width="11" style="18" customWidth="1"/>
    <col min="265" max="265" width="9.140625" style="18"/>
    <col min="266" max="266" width="2.7109375" style="18" customWidth="1"/>
    <col min="267" max="512" width="9.140625" style="18"/>
    <col min="513" max="513" width="2.28515625" style="18" customWidth="1"/>
    <col min="514" max="515" width="6" style="18" customWidth="1"/>
    <col min="516" max="516" width="10.42578125" style="18" customWidth="1"/>
    <col min="517" max="517" width="20.140625" style="18" customWidth="1"/>
    <col min="518" max="518" width="27.5703125" style="18" customWidth="1"/>
    <col min="519" max="519" width="11.28515625" style="18" customWidth="1"/>
    <col min="520" max="520" width="11" style="18" customWidth="1"/>
    <col min="521" max="521" width="9.140625" style="18"/>
    <col min="522" max="522" width="2.7109375" style="18" customWidth="1"/>
    <col min="523" max="768" width="9.140625" style="18"/>
    <col min="769" max="769" width="2.28515625" style="18" customWidth="1"/>
    <col min="770" max="771" width="6" style="18" customWidth="1"/>
    <col min="772" max="772" width="10.42578125" style="18" customWidth="1"/>
    <col min="773" max="773" width="20.140625" style="18" customWidth="1"/>
    <col min="774" max="774" width="27.5703125" style="18" customWidth="1"/>
    <col min="775" max="775" width="11.28515625" style="18" customWidth="1"/>
    <col min="776" max="776" width="11" style="18" customWidth="1"/>
    <col min="777" max="777" width="9.140625" style="18"/>
    <col min="778" max="778" width="2.7109375" style="18" customWidth="1"/>
    <col min="779" max="1024" width="9.140625" style="18"/>
    <col min="1025" max="1025" width="2.28515625" style="18" customWidth="1"/>
    <col min="1026" max="1027" width="6" style="18" customWidth="1"/>
    <col min="1028" max="1028" width="10.42578125" style="18" customWidth="1"/>
    <col min="1029" max="1029" width="20.140625" style="18" customWidth="1"/>
    <col min="1030" max="1030" width="27.5703125" style="18" customWidth="1"/>
    <col min="1031" max="1031" width="11.28515625" style="18" customWidth="1"/>
    <col min="1032" max="1032" width="11" style="18" customWidth="1"/>
    <col min="1033" max="1033" width="9.140625" style="18"/>
    <col min="1034" max="1034" width="2.7109375" style="18" customWidth="1"/>
    <col min="1035" max="1280" width="9.140625" style="18"/>
    <col min="1281" max="1281" width="2.28515625" style="18" customWidth="1"/>
    <col min="1282" max="1283" width="6" style="18" customWidth="1"/>
    <col min="1284" max="1284" width="10.42578125" style="18" customWidth="1"/>
    <col min="1285" max="1285" width="20.140625" style="18" customWidth="1"/>
    <col min="1286" max="1286" width="27.5703125" style="18" customWidth="1"/>
    <col min="1287" max="1287" width="11.28515625" style="18" customWidth="1"/>
    <col min="1288" max="1288" width="11" style="18" customWidth="1"/>
    <col min="1289" max="1289" width="9.140625" style="18"/>
    <col min="1290" max="1290" width="2.7109375" style="18" customWidth="1"/>
    <col min="1291" max="1536" width="9.140625" style="18"/>
    <col min="1537" max="1537" width="2.28515625" style="18" customWidth="1"/>
    <col min="1538" max="1539" width="6" style="18" customWidth="1"/>
    <col min="1540" max="1540" width="10.42578125" style="18" customWidth="1"/>
    <col min="1541" max="1541" width="20.140625" style="18" customWidth="1"/>
    <col min="1542" max="1542" width="27.5703125" style="18" customWidth="1"/>
    <col min="1543" max="1543" width="11.28515625" style="18" customWidth="1"/>
    <col min="1544" max="1544" width="11" style="18" customWidth="1"/>
    <col min="1545" max="1545" width="9.140625" style="18"/>
    <col min="1546" max="1546" width="2.7109375" style="18" customWidth="1"/>
    <col min="1547" max="1792" width="9.140625" style="18"/>
    <col min="1793" max="1793" width="2.28515625" style="18" customWidth="1"/>
    <col min="1794" max="1795" width="6" style="18" customWidth="1"/>
    <col min="1796" max="1796" width="10.42578125" style="18" customWidth="1"/>
    <col min="1797" max="1797" width="20.140625" style="18" customWidth="1"/>
    <col min="1798" max="1798" width="27.5703125" style="18" customWidth="1"/>
    <col min="1799" max="1799" width="11.28515625" style="18" customWidth="1"/>
    <col min="1800" max="1800" width="11" style="18" customWidth="1"/>
    <col min="1801" max="1801" width="9.140625" style="18"/>
    <col min="1802" max="1802" width="2.7109375" style="18" customWidth="1"/>
    <col min="1803" max="2048" width="9.140625" style="18"/>
    <col min="2049" max="2049" width="2.28515625" style="18" customWidth="1"/>
    <col min="2050" max="2051" width="6" style="18" customWidth="1"/>
    <col min="2052" max="2052" width="10.42578125" style="18" customWidth="1"/>
    <col min="2053" max="2053" width="20.140625" style="18" customWidth="1"/>
    <col min="2054" max="2054" width="27.5703125" style="18" customWidth="1"/>
    <col min="2055" max="2055" width="11.28515625" style="18" customWidth="1"/>
    <col min="2056" max="2056" width="11" style="18" customWidth="1"/>
    <col min="2057" max="2057" width="9.140625" style="18"/>
    <col min="2058" max="2058" width="2.7109375" style="18" customWidth="1"/>
    <col min="2059" max="2304" width="9.140625" style="18"/>
    <col min="2305" max="2305" width="2.28515625" style="18" customWidth="1"/>
    <col min="2306" max="2307" width="6" style="18" customWidth="1"/>
    <col min="2308" max="2308" width="10.42578125" style="18" customWidth="1"/>
    <col min="2309" max="2309" width="20.140625" style="18" customWidth="1"/>
    <col min="2310" max="2310" width="27.5703125" style="18" customWidth="1"/>
    <col min="2311" max="2311" width="11.28515625" style="18" customWidth="1"/>
    <col min="2312" max="2312" width="11" style="18" customWidth="1"/>
    <col min="2313" max="2313" width="9.140625" style="18"/>
    <col min="2314" max="2314" width="2.7109375" style="18" customWidth="1"/>
    <col min="2315" max="2560" width="9.140625" style="18"/>
    <col min="2561" max="2561" width="2.28515625" style="18" customWidth="1"/>
    <col min="2562" max="2563" width="6" style="18" customWidth="1"/>
    <col min="2564" max="2564" width="10.42578125" style="18" customWidth="1"/>
    <col min="2565" max="2565" width="20.140625" style="18" customWidth="1"/>
    <col min="2566" max="2566" width="27.5703125" style="18" customWidth="1"/>
    <col min="2567" max="2567" width="11.28515625" style="18" customWidth="1"/>
    <col min="2568" max="2568" width="11" style="18" customWidth="1"/>
    <col min="2569" max="2569" width="9.140625" style="18"/>
    <col min="2570" max="2570" width="2.7109375" style="18" customWidth="1"/>
    <col min="2571" max="2816" width="9.140625" style="18"/>
    <col min="2817" max="2817" width="2.28515625" style="18" customWidth="1"/>
    <col min="2818" max="2819" width="6" style="18" customWidth="1"/>
    <col min="2820" max="2820" width="10.42578125" style="18" customWidth="1"/>
    <col min="2821" max="2821" width="20.140625" style="18" customWidth="1"/>
    <col min="2822" max="2822" width="27.5703125" style="18" customWidth="1"/>
    <col min="2823" max="2823" width="11.28515625" style="18" customWidth="1"/>
    <col min="2824" max="2824" width="11" style="18" customWidth="1"/>
    <col min="2825" max="2825" width="9.140625" style="18"/>
    <col min="2826" max="2826" width="2.7109375" style="18" customWidth="1"/>
    <col min="2827" max="3072" width="9.140625" style="18"/>
    <col min="3073" max="3073" width="2.28515625" style="18" customWidth="1"/>
    <col min="3074" max="3075" width="6" style="18" customWidth="1"/>
    <col min="3076" max="3076" width="10.42578125" style="18" customWidth="1"/>
    <col min="3077" max="3077" width="20.140625" style="18" customWidth="1"/>
    <col min="3078" max="3078" width="27.5703125" style="18" customWidth="1"/>
    <col min="3079" max="3079" width="11.28515625" style="18" customWidth="1"/>
    <col min="3080" max="3080" width="11" style="18" customWidth="1"/>
    <col min="3081" max="3081" width="9.140625" style="18"/>
    <col min="3082" max="3082" width="2.7109375" style="18" customWidth="1"/>
    <col min="3083" max="3328" width="9.140625" style="18"/>
    <col min="3329" max="3329" width="2.28515625" style="18" customWidth="1"/>
    <col min="3330" max="3331" width="6" style="18" customWidth="1"/>
    <col min="3332" max="3332" width="10.42578125" style="18" customWidth="1"/>
    <col min="3333" max="3333" width="20.140625" style="18" customWidth="1"/>
    <col min="3334" max="3334" width="27.5703125" style="18" customWidth="1"/>
    <col min="3335" max="3335" width="11.28515625" style="18" customWidth="1"/>
    <col min="3336" max="3336" width="11" style="18" customWidth="1"/>
    <col min="3337" max="3337" width="9.140625" style="18"/>
    <col min="3338" max="3338" width="2.7109375" style="18" customWidth="1"/>
    <col min="3339" max="3584" width="9.140625" style="18"/>
    <col min="3585" max="3585" width="2.28515625" style="18" customWidth="1"/>
    <col min="3586" max="3587" width="6" style="18" customWidth="1"/>
    <col min="3588" max="3588" width="10.42578125" style="18" customWidth="1"/>
    <col min="3589" max="3589" width="20.140625" style="18" customWidth="1"/>
    <col min="3590" max="3590" width="27.5703125" style="18" customWidth="1"/>
    <col min="3591" max="3591" width="11.28515625" style="18" customWidth="1"/>
    <col min="3592" max="3592" width="11" style="18" customWidth="1"/>
    <col min="3593" max="3593" width="9.140625" style="18"/>
    <col min="3594" max="3594" width="2.7109375" style="18" customWidth="1"/>
    <col min="3595" max="3840" width="9.140625" style="18"/>
    <col min="3841" max="3841" width="2.28515625" style="18" customWidth="1"/>
    <col min="3842" max="3843" width="6" style="18" customWidth="1"/>
    <col min="3844" max="3844" width="10.42578125" style="18" customWidth="1"/>
    <col min="3845" max="3845" width="20.140625" style="18" customWidth="1"/>
    <col min="3846" max="3846" width="27.5703125" style="18" customWidth="1"/>
    <col min="3847" max="3847" width="11.28515625" style="18" customWidth="1"/>
    <col min="3848" max="3848" width="11" style="18" customWidth="1"/>
    <col min="3849" max="3849" width="9.140625" style="18"/>
    <col min="3850" max="3850" width="2.7109375" style="18" customWidth="1"/>
    <col min="3851" max="4096" width="9.140625" style="18"/>
    <col min="4097" max="4097" width="2.28515625" style="18" customWidth="1"/>
    <col min="4098" max="4099" width="6" style="18" customWidth="1"/>
    <col min="4100" max="4100" width="10.42578125" style="18" customWidth="1"/>
    <col min="4101" max="4101" width="20.140625" style="18" customWidth="1"/>
    <col min="4102" max="4102" width="27.5703125" style="18" customWidth="1"/>
    <col min="4103" max="4103" width="11.28515625" style="18" customWidth="1"/>
    <col min="4104" max="4104" width="11" style="18" customWidth="1"/>
    <col min="4105" max="4105" width="9.140625" style="18"/>
    <col min="4106" max="4106" width="2.7109375" style="18" customWidth="1"/>
    <col min="4107" max="4352" width="9.140625" style="18"/>
    <col min="4353" max="4353" width="2.28515625" style="18" customWidth="1"/>
    <col min="4354" max="4355" width="6" style="18" customWidth="1"/>
    <col min="4356" max="4356" width="10.42578125" style="18" customWidth="1"/>
    <col min="4357" max="4357" width="20.140625" style="18" customWidth="1"/>
    <col min="4358" max="4358" width="27.5703125" style="18" customWidth="1"/>
    <col min="4359" max="4359" width="11.28515625" style="18" customWidth="1"/>
    <col min="4360" max="4360" width="11" style="18" customWidth="1"/>
    <col min="4361" max="4361" width="9.140625" style="18"/>
    <col min="4362" max="4362" width="2.7109375" style="18" customWidth="1"/>
    <col min="4363" max="4608" width="9.140625" style="18"/>
    <col min="4609" max="4609" width="2.28515625" style="18" customWidth="1"/>
    <col min="4610" max="4611" width="6" style="18" customWidth="1"/>
    <col min="4612" max="4612" width="10.42578125" style="18" customWidth="1"/>
    <col min="4613" max="4613" width="20.140625" style="18" customWidth="1"/>
    <col min="4614" max="4614" width="27.5703125" style="18" customWidth="1"/>
    <col min="4615" max="4615" width="11.28515625" style="18" customWidth="1"/>
    <col min="4616" max="4616" width="11" style="18" customWidth="1"/>
    <col min="4617" max="4617" width="9.140625" style="18"/>
    <col min="4618" max="4618" width="2.7109375" style="18" customWidth="1"/>
    <col min="4619" max="4864" width="9.140625" style="18"/>
    <col min="4865" max="4865" width="2.28515625" style="18" customWidth="1"/>
    <col min="4866" max="4867" width="6" style="18" customWidth="1"/>
    <col min="4868" max="4868" width="10.42578125" style="18" customWidth="1"/>
    <col min="4869" max="4869" width="20.140625" style="18" customWidth="1"/>
    <col min="4870" max="4870" width="27.5703125" style="18" customWidth="1"/>
    <col min="4871" max="4871" width="11.28515625" style="18" customWidth="1"/>
    <col min="4872" max="4872" width="11" style="18" customWidth="1"/>
    <col min="4873" max="4873" width="9.140625" style="18"/>
    <col min="4874" max="4874" width="2.7109375" style="18" customWidth="1"/>
    <col min="4875" max="5120" width="9.140625" style="18"/>
    <col min="5121" max="5121" width="2.28515625" style="18" customWidth="1"/>
    <col min="5122" max="5123" width="6" style="18" customWidth="1"/>
    <col min="5124" max="5124" width="10.42578125" style="18" customWidth="1"/>
    <col min="5125" max="5125" width="20.140625" style="18" customWidth="1"/>
    <col min="5126" max="5126" width="27.5703125" style="18" customWidth="1"/>
    <col min="5127" max="5127" width="11.28515625" style="18" customWidth="1"/>
    <col min="5128" max="5128" width="11" style="18" customWidth="1"/>
    <col min="5129" max="5129" width="9.140625" style="18"/>
    <col min="5130" max="5130" width="2.7109375" style="18" customWidth="1"/>
    <col min="5131" max="5376" width="9.140625" style="18"/>
    <col min="5377" max="5377" width="2.28515625" style="18" customWidth="1"/>
    <col min="5378" max="5379" width="6" style="18" customWidth="1"/>
    <col min="5380" max="5380" width="10.42578125" style="18" customWidth="1"/>
    <col min="5381" max="5381" width="20.140625" style="18" customWidth="1"/>
    <col min="5382" max="5382" width="27.5703125" style="18" customWidth="1"/>
    <col min="5383" max="5383" width="11.28515625" style="18" customWidth="1"/>
    <col min="5384" max="5384" width="11" style="18" customWidth="1"/>
    <col min="5385" max="5385" width="9.140625" style="18"/>
    <col min="5386" max="5386" width="2.7109375" style="18" customWidth="1"/>
    <col min="5387" max="5632" width="9.140625" style="18"/>
    <col min="5633" max="5633" width="2.28515625" style="18" customWidth="1"/>
    <col min="5634" max="5635" width="6" style="18" customWidth="1"/>
    <col min="5636" max="5636" width="10.42578125" style="18" customWidth="1"/>
    <col min="5637" max="5637" width="20.140625" style="18" customWidth="1"/>
    <col min="5638" max="5638" width="27.5703125" style="18" customWidth="1"/>
    <col min="5639" max="5639" width="11.28515625" style="18" customWidth="1"/>
    <col min="5640" max="5640" width="11" style="18" customWidth="1"/>
    <col min="5641" max="5641" width="9.140625" style="18"/>
    <col min="5642" max="5642" width="2.7109375" style="18" customWidth="1"/>
    <col min="5643" max="5888" width="9.140625" style="18"/>
    <col min="5889" max="5889" width="2.28515625" style="18" customWidth="1"/>
    <col min="5890" max="5891" width="6" style="18" customWidth="1"/>
    <col min="5892" max="5892" width="10.42578125" style="18" customWidth="1"/>
    <col min="5893" max="5893" width="20.140625" style="18" customWidth="1"/>
    <col min="5894" max="5894" width="27.5703125" style="18" customWidth="1"/>
    <col min="5895" max="5895" width="11.28515625" style="18" customWidth="1"/>
    <col min="5896" max="5896" width="11" style="18" customWidth="1"/>
    <col min="5897" max="5897" width="9.140625" style="18"/>
    <col min="5898" max="5898" width="2.7109375" style="18" customWidth="1"/>
    <col min="5899" max="6144" width="9.140625" style="18"/>
    <col min="6145" max="6145" width="2.28515625" style="18" customWidth="1"/>
    <col min="6146" max="6147" width="6" style="18" customWidth="1"/>
    <col min="6148" max="6148" width="10.42578125" style="18" customWidth="1"/>
    <col min="6149" max="6149" width="20.140625" style="18" customWidth="1"/>
    <col min="6150" max="6150" width="27.5703125" style="18" customWidth="1"/>
    <col min="6151" max="6151" width="11.28515625" style="18" customWidth="1"/>
    <col min="6152" max="6152" width="11" style="18" customWidth="1"/>
    <col min="6153" max="6153" width="9.140625" style="18"/>
    <col min="6154" max="6154" width="2.7109375" style="18" customWidth="1"/>
    <col min="6155" max="6400" width="9.140625" style="18"/>
    <col min="6401" max="6401" width="2.28515625" style="18" customWidth="1"/>
    <col min="6402" max="6403" width="6" style="18" customWidth="1"/>
    <col min="6404" max="6404" width="10.42578125" style="18" customWidth="1"/>
    <col min="6405" max="6405" width="20.140625" style="18" customWidth="1"/>
    <col min="6406" max="6406" width="27.5703125" style="18" customWidth="1"/>
    <col min="6407" max="6407" width="11.28515625" style="18" customWidth="1"/>
    <col min="6408" max="6408" width="11" style="18" customWidth="1"/>
    <col min="6409" max="6409" width="9.140625" style="18"/>
    <col min="6410" max="6410" width="2.7109375" style="18" customWidth="1"/>
    <col min="6411" max="6656" width="9.140625" style="18"/>
    <col min="6657" max="6657" width="2.28515625" style="18" customWidth="1"/>
    <col min="6658" max="6659" width="6" style="18" customWidth="1"/>
    <col min="6660" max="6660" width="10.42578125" style="18" customWidth="1"/>
    <col min="6661" max="6661" width="20.140625" style="18" customWidth="1"/>
    <col min="6662" max="6662" width="27.5703125" style="18" customWidth="1"/>
    <col min="6663" max="6663" width="11.28515625" style="18" customWidth="1"/>
    <col min="6664" max="6664" width="11" style="18" customWidth="1"/>
    <col min="6665" max="6665" width="9.140625" style="18"/>
    <col min="6666" max="6666" width="2.7109375" style="18" customWidth="1"/>
    <col min="6667" max="6912" width="9.140625" style="18"/>
    <col min="6913" max="6913" width="2.28515625" style="18" customWidth="1"/>
    <col min="6914" max="6915" width="6" style="18" customWidth="1"/>
    <col min="6916" max="6916" width="10.42578125" style="18" customWidth="1"/>
    <col min="6917" max="6917" width="20.140625" style="18" customWidth="1"/>
    <col min="6918" max="6918" width="27.5703125" style="18" customWidth="1"/>
    <col min="6919" max="6919" width="11.28515625" style="18" customWidth="1"/>
    <col min="6920" max="6920" width="11" style="18" customWidth="1"/>
    <col min="6921" max="6921" width="9.140625" style="18"/>
    <col min="6922" max="6922" width="2.7109375" style="18" customWidth="1"/>
    <col min="6923" max="7168" width="9.140625" style="18"/>
    <col min="7169" max="7169" width="2.28515625" style="18" customWidth="1"/>
    <col min="7170" max="7171" width="6" style="18" customWidth="1"/>
    <col min="7172" max="7172" width="10.42578125" style="18" customWidth="1"/>
    <col min="7173" max="7173" width="20.140625" style="18" customWidth="1"/>
    <col min="7174" max="7174" width="27.5703125" style="18" customWidth="1"/>
    <col min="7175" max="7175" width="11.28515625" style="18" customWidth="1"/>
    <col min="7176" max="7176" width="11" style="18" customWidth="1"/>
    <col min="7177" max="7177" width="9.140625" style="18"/>
    <col min="7178" max="7178" width="2.7109375" style="18" customWidth="1"/>
    <col min="7179" max="7424" width="9.140625" style="18"/>
    <col min="7425" max="7425" width="2.28515625" style="18" customWidth="1"/>
    <col min="7426" max="7427" width="6" style="18" customWidth="1"/>
    <col min="7428" max="7428" width="10.42578125" style="18" customWidth="1"/>
    <col min="7429" max="7429" width="20.140625" style="18" customWidth="1"/>
    <col min="7430" max="7430" width="27.5703125" style="18" customWidth="1"/>
    <col min="7431" max="7431" width="11.28515625" style="18" customWidth="1"/>
    <col min="7432" max="7432" width="11" style="18" customWidth="1"/>
    <col min="7433" max="7433" width="9.140625" style="18"/>
    <col min="7434" max="7434" width="2.7109375" style="18" customWidth="1"/>
    <col min="7435" max="7680" width="9.140625" style="18"/>
    <col min="7681" max="7681" width="2.28515625" style="18" customWidth="1"/>
    <col min="7682" max="7683" width="6" style="18" customWidth="1"/>
    <col min="7684" max="7684" width="10.42578125" style="18" customWidth="1"/>
    <col min="7685" max="7685" width="20.140625" style="18" customWidth="1"/>
    <col min="7686" max="7686" width="27.5703125" style="18" customWidth="1"/>
    <col min="7687" max="7687" width="11.28515625" style="18" customWidth="1"/>
    <col min="7688" max="7688" width="11" style="18" customWidth="1"/>
    <col min="7689" max="7689" width="9.140625" style="18"/>
    <col min="7690" max="7690" width="2.7109375" style="18" customWidth="1"/>
    <col min="7691" max="7936" width="9.140625" style="18"/>
    <col min="7937" max="7937" width="2.28515625" style="18" customWidth="1"/>
    <col min="7938" max="7939" width="6" style="18" customWidth="1"/>
    <col min="7940" max="7940" width="10.42578125" style="18" customWidth="1"/>
    <col min="7941" max="7941" width="20.140625" style="18" customWidth="1"/>
    <col min="7942" max="7942" width="27.5703125" style="18" customWidth="1"/>
    <col min="7943" max="7943" width="11.28515625" style="18" customWidth="1"/>
    <col min="7944" max="7944" width="11" style="18" customWidth="1"/>
    <col min="7945" max="7945" width="9.140625" style="18"/>
    <col min="7946" max="7946" width="2.7109375" style="18" customWidth="1"/>
    <col min="7947" max="8192" width="9.140625" style="18"/>
    <col min="8193" max="8193" width="2.28515625" style="18" customWidth="1"/>
    <col min="8194" max="8195" width="6" style="18" customWidth="1"/>
    <col min="8196" max="8196" width="10.42578125" style="18" customWidth="1"/>
    <col min="8197" max="8197" width="20.140625" style="18" customWidth="1"/>
    <col min="8198" max="8198" width="27.5703125" style="18" customWidth="1"/>
    <col min="8199" max="8199" width="11.28515625" style="18" customWidth="1"/>
    <col min="8200" max="8200" width="11" style="18" customWidth="1"/>
    <col min="8201" max="8201" width="9.140625" style="18"/>
    <col min="8202" max="8202" width="2.7109375" style="18" customWidth="1"/>
    <col min="8203" max="8448" width="9.140625" style="18"/>
    <col min="8449" max="8449" width="2.28515625" style="18" customWidth="1"/>
    <col min="8450" max="8451" width="6" style="18" customWidth="1"/>
    <col min="8452" max="8452" width="10.42578125" style="18" customWidth="1"/>
    <col min="8453" max="8453" width="20.140625" style="18" customWidth="1"/>
    <col min="8454" max="8454" width="27.5703125" style="18" customWidth="1"/>
    <col min="8455" max="8455" width="11.28515625" style="18" customWidth="1"/>
    <col min="8456" max="8456" width="11" style="18" customWidth="1"/>
    <col min="8457" max="8457" width="9.140625" style="18"/>
    <col min="8458" max="8458" width="2.7109375" style="18" customWidth="1"/>
    <col min="8459" max="8704" width="9.140625" style="18"/>
    <col min="8705" max="8705" width="2.28515625" style="18" customWidth="1"/>
    <col min="8706" max="8707" width="6" style="18" customWidth="1"/>
    <col min="8708" max="8708" width="10.42578125" style="18" customWidth="1"/>
    <col min="8709" max="8709" width="20.140625" style="18" customWidth="1"/>
    <col min="8710" max="8710" width="27.5703125" style="18" customWidth="1"/>
    <col min="8711" max="8711" width="11.28515625" style="18" customWidth="1"/>
    <col min="8712" max="8712" width="11" style="18" customWidth="1"/>
    <col min="8713" max="8713" width="9.140625" style="18"/>
    <col min="8714" max="8714" width="2.7109375" style="18" customWidth="1"/>
    <col min="8715" max="8960" width="9.140625" style="18"/>
    <col min="8961" max="8961" width="2.28515625" style="18" customWidth="1"/>
    <col min="8962" max="8963" width="6" style="18" customWidth="1"/>
    <col min="8964" max="8964" width="10.42578125" style="18" customWidth="1"/>
    <col min="8965" max="8965" width="20.140625" style="18" customWidth="1"/>
    <col min="8966" max="8966" width="27.5703125" style="18" customWidth="1"/>
    <col min="8967" max="8967" width="11.28515625" style="18" customWidth="1"/>
    <col min="8968" max="8968" width="11" style="18" customWidth="1"/>
    <col min="8969" max="8969" width="9.140625" style="18"/>
    <col min="8970" max="8970" width="2.7109375" style="18" customWidth="1"/>
    <col min="8971" max="9216" width="9.140625" style="18"/>
    <col min="9217" max="9217" width="2.28515625" style="18" customWidth="1"/>
    <col min="9218" max="9219" width="6" style="18" customWidth="1"/>
    <col min="9220" max="9220" width="10.42578125" style="18" customWidth="1"/>
    <col min="9221" max="9221" width="20.140625" style="18" customWidth="1"/>
    <col min="9222" max="9222" width="27.5703125" style="18" customWidth="1"/>
    <col min="9223" max="9223" width="11.28515625" style="18" customWidth="1"/>
    <col min="9224" max="9224" width="11" style="18" customWidth="1"/>
    <col min="9225" max="9225" width="9.140625" style="18"/>
    <col min="9226" max="9226" width="2.7109375" style="18" customWidth="1"/>
    <col min="9227" max="9472" width="9.140625" style="18"/>
    <col min="9473" max="9473" width="2.28515625" style="18" customWidth="1"/>
    <col min="9474" max="9475" width="6" style="18" customWidth="1"/>
    <col min="9476" max="9476" width="10.42578125" style="18" customWidth="1"/>
    <col min="9477" max="9477" width="20.140625" style="18" customWidth="1"/>
    <col min="9478" max="9478" width="27.5703125" style="18" customWidth="1"/>
    <col min="9479" max="9479" width="11.28515625" style="18" customWidth="1"/>
    <col min="9480" max="9480" width="11" style="18" customWidth="1"/>
    <col min="9481" max="9481" width="9.140625" style="18"/>
    <col min="9482" max="9482" width="2.7109375" style="18" customWidth="1"/>
    <col min="9483" max="9728" width="9.140625" style="18"/>
    <col min="9729" max="9729" width="2.28515625" style="18" customWidth="1"/>
    <col min="9730" max="9731" width="6" style="18" customWidth="1"/>
    <col min="9732" max="9732" width="10.42578125" style="18" customWidth="1"/>
    <col min="9733" max="9733" width="20.140625" style="18" customWidth="1"/>
    <col min="9734" max="9734" width="27.5703125" style="18" customWidth="1"/>
    <col min="9735" max="9735" width="11.28515625" style="18" customWidth="1"/>
    <col min="9736" max="9736" width="11" style="18" customWidth="1"/>
    <col min="9737" max="9737" width="9.140625" style="18"/>
    <col min="9738" max="9738" width="2.7109375" style="18" customWidth="1"/>
    <col min="9739" max="9984" width="9.140625" style="18"/>
    <col min="9985" max="9985" width="2.28515625" style="18" customWidth="1"/>
    <col min="9986" max="9987" width="6" style="18" customWidth="1"/>
    <col min="9988" max="9988" width="10.42578125" style="18" customWidth="1"/>
    <col min="9989" max="9989" width="20.140625" style="18" customWidth="1"/>
    <col min="9990" max="9990" width="27.5703125" style="18" customWidth="1"/>
    <col min="9991" max="9991" width="11.28515625" style="18" customWidth="1"/>
    <col min="9992" max="9992" width="11" style="18" customWidth="1"/>
    <col min="9993" max="9993" width="9.140625" style="18"/>
    <col min="9994" max="9994" width="2.7109375" style="18" customWidth="1"/>
    <col min="9995" max="10240" width="9.140625" style="18"/>
    <col min="10241" max="10241" width="2.28515625" style="18" customWidth="1"/>
    <col min="10242" max="10243" width="6" style="18" customWidth="1"/>
    <col min="10244" max="10244" width="10.42578125" style="18" customWidth="1"/>
    <col min="10245" max="10245" width="20.140625" style="18" customWidth="1"/>
    <col min="10246" max="10246" width="27.5703125" style="18" customWidth="1"/>
    <col min="10247" max="10247" width="11.28515625" style="18" customWidth="1"/>
    <col min="10248" max="10248" width="11" style="18" customWidth="1"/>
    <col min="10249" max="10249" width="9.140625" style="18"/>
    <col min="10250" max="10250" width="2.7109375" style="18" customWidth="1"/>
    <col min="10251" max="10496" width="9.140625" style="18"/>
    <col min="10497" max="10497" width="2.28515625" style="18" customWidth="1"/>
    <col min="10498" max="10499" width="6" style="18" customWidth="1"/>
    <col min="10500" max="10500" width="10.42578125" style="18" customWidth="1"/>
    <col min="10501" max="10501" width="20.140625" style="18" customWidth="1"/>
    <col min="10502" max="10502" width="27.5703125" style="18" customWidth="1"/>
    <col min="10503" max="10503" width="11.28515625" style="18" customWidth="1"/>
    <col min="10504" max="10504" width="11" style="18" customWidth="1"/>
    <col min="10505" max="10505" width="9.140625" style="18"/>
    <col min="10506" max="10506" width="2.7109375" style="18" customWidth="1"/>
    <col min="10507" max="10752" width="9.140625" style="18"/>
    <col min="10753" max="10753" width="2.28515625" style="18" customWidth="1"/>
    <col min="10754" max="10755" width="6" style="18" customWidth="1"/>
    <col min="10756" max="10756" width="10.42578125" style="18" customWidth="1"/>
    <col min="10757" max="10757" width="20.140625" style="18" customWidth="1"/>
    <col min="10758" max="10758" width="27.5703125" style="18" customWidth="1"/>
    <col min="10759" max="10759" width="11.28515625" style="18" customWidth="1"/>
    <col min="10760" max="10760" width="11" style="18" customWidth="1"/>
    <col min="10761" max="10761" width="9.140625" style="18"/>
    <col min="10762" max="10762" width="2.7109375" style="18" customWidth="1"/>
    <col min="10763" max="11008" width="9.140625" style="18"/>
    <col min="11009" max="11009" width="2.28515625" style="18" customWidth="1"/>
    <col min="11010" max="11011" width="6" style="18" customWidth="1"/>
    <col min="11012" max="11012" width="10.42578125" style="18" customWidth="1"/>
    <col min="11013" max="11013" width="20.140625" style="18" customWidth="1"/>
    <col min="11014" max="11014" width="27.5703125" style="18" customWidth="1"/>
    <col min="11015" max="11015" width="11.28515625" style="18" customWidth="1"/>
    <col min="11016" max="11016" width="11" style="18" customWidth="1"/>
    <col min="11017" max="11017" width="9.140625" style="18"/>
    <col min="11018" max="11018" width="2.7109375" style="18" customWidth="1"/>
    <col min="11019" max="11264" width="9.140625" style="18"/>
    <col min="11265" max="11265" width="2.28515625" style="18" customWidth="1"/>
    <col min="11266" max="11267" width="6" style="18" customWidth="1"/>
    <col min="11268" max="11268" width="10.42578125" style="18" customWidth="1"/>
    <col min="11269" max="11269" width="20.140625" style="18" customWidth="1"/>
    <col min="11270" max="11270" width="27.5703125" style="18" customWidth="1"/>
    <col min="11271" max="11271" width="11.28515625" style="18" customWidth="1"/>
    <col min="11272" max="11272" width="11" style="18" customWidth="1"/>
    <col min="11273" max="11273" width="9.140625" style="18"/>
    <col min="11274" max="11274" width="2.7109375" style="18" customWidth="1"/>
    <col min="11275" max="11520" width="9.140625" style="18"/>
    <col min="11521" max="11521" width="2.28515625" style="18" customWidth="1"/>
    <col min="11522" max="11523" width="6" style="18" customWidth="1"/>
    <col min="11524" max="11524" width="10.42578125" style="18" customWidth="1"/>
    <col min="11525" max="11525" width="20.140625" style="18" customWidth="1"/>
    <col min="11526" max="11526" width="27.5703125" style="18" customWidth="1"/>
    <col min="11527" max="11527" width="11.28515625" style="18" customWidth="1"/>
    <col min="11528" max="11528" width="11" style="18" customWidth="1"/>
    <col min="11529" max="11529" width="9.140625" style="18"/>
    <col min="11530" max="11530" width="2.7109375" style="18" customWidth="1"/>
    <col min="11531" max="11776" width="9.140625" style="18"/>
    <col min="11777" max="11777" width="2.28515625" style="18" customWidth="1"/>
    <col min="11778" max="11779" width="6" style="18" customWidth="1"/>
    <col min="11780" max="11780" width="10.42578125" style="18" customWidth="1"/>
    <col min="11781" max="11781" width="20.140625" style="18" customWidth="1"/>
    <col min="11782" max="11782" width="27.5703125" style="18" customWidth="1"/>
    <col min="11783" max="11783" width="11.28515625" style="18" customWidth="1"/>
    <col min="11784" max="11784" width="11" style="18" customWidth="1"/>
    <col min="11785" max="11785" width="9.140625" style="18"/>
    <col min="11786" max="11786" width="2.7109375" style="18" customWidth="1"/>
    <col min="11787" max="12032" width="9.140625" style="18"/>
    <col min="12033" max="12033" width="2.28515625" style="18" customWidth="1"/>
    <col min="12034" max="12035" width="6" style="18" customWidth="1"/>
    <col min="12036" max="12036" width="10.42578125" style="18" customWidth="1"/>
    <col min="12037" max="12037" width="20.140625" style="18" customWidth="1"/>
    <col min="12038" max="12038" width="27.5703125" style="18" customWidth="1"/>
    <col min="12039" max="12039" width="11.28515625" style="18" customWidth="1"/>
    <col min="12040" max="12040" width="11" style="18" customWidth="1"/>
    <col min="12041" max="12041" width="9.140625" style="18"/>
    <col min="12042" max="12042" width="2.7109375" style="18" customWidth="1"/>
    <col min="12043" max="12288" width="9.140625" style="18"/>
    <col min="12289" max="12289" width="2.28515625" style="18" customWidth="1"/>
    <col min="12290" max="12291" width="6" style="18" customWidth="1"/>
    <col min="12292" max="12292" width="10.42578125" style="18" customWidth="1"/>
    <col min="12293" max="12293" width="20.140625" style="18" customWidth="1"/>
    <col min="12294" max="12294" width="27.5703125" style="18" customWidth="1"/>
    <col min="12295" max="12295" width="11.28515625" style="18" customWidth="1"/>
    <col min="12296" max="12296" width="11" style="18" customWidth="1"/>
    <col min="12297" max="12297" width="9.140625" style="18"/>
    <col min="12298" max="12298" width="2.7109375" style="18" customWidth="1"/>
    <col min="12299" max="12544" width="9.140625" style="18"/>
    <col min="12545" max="12545" width="2.28515625" style="18" customWidth="1"/>
    <col min="12546" max="12547" width="6" style="18" customWidth="1"/>
    <col min="12548" max="12548" width="10.42578125" style="18" customWidth="1"/>
    <col min="12549" max="12549" width="20.140625" style="18" customWidth="1"/>
    <col min="12550" max="12550" width="27.5703125" style="18" customWidth="1"/>
    <col min="12551" max="12551" width="11.28515625" style="18" customWidth="1"/>
    <col min="12552" max="12552" width="11" style="18" customWidth="1"/>
    <col min="12553" max="12553" width="9.140625" style="18"/>
    <col min="12554" max="12554" width="2.7109375" style="18" customWidth="1"/>
    <col min="12555" max="12800" width="9.140625" style="18"/>
    <col min="12801" max="12801" width="2.28515625" style="18" customWidth="1"/>
    <col min="12802" max="12803" width="6" style="18" customWidth="1"/>
    <col min="12804" max="12804" width="10.42578125" style="18" customWidth="1"/>
    <col min="12805" max="12805" width="20.140625" style="18" customWidth="1"/>
    <col min="12806" max="12806" width="27.5703125" style="18" customWidth="1"/>
    <col min="12807" max="12807" width="11.28515625" style="18" customWidth="1"/>
    <col min="12808" max="12808" width="11" style="18" customWidth="1"/>
    <col min="12809" max="12809" width="9.140625" style="18"/>
    <col min="12810" max="12810" width="2.7109375" style="18" customWidth="1"/>
    <col min="12811" max="13056" width="9.140625" style="18"/>
    <col min="13057" max="13057" width="2.28515625" style="18" customWidth="1"/>
    <col min="13058" max="13059" width="6" style="18" customWidth="1"/>
    <col min="13060" max="13060" width="10.42578125" style="18" customWidth="1"/>
    <col min="13061" max="13061" width="20.140625" style="18" customWidth="1"/>
    <col min="13062" max="13062" width="27.5703125" style="18" customWidth="1"/>
    <col min="13063" max="13063" width="11.28515625" style="18" customWidth="1"/>
    <col min="13064" max="13064" width="11" style="18" customWidth="1"/>
    <col min="13065" max="13065" width="9.140625" style="18"/>
    <col min="13066" max="13066" width="2.7109375" style="18" customWidth="1"/>
    <col min="13067" max="13312" width="9.140625" style="18"/>
    <col min="13313" max="13313" width="2.28515625" style="18" customWidth="1"/>
    <col min="13314" max="13315" width="6" style="18" customWidth="1"/>
    <col min="13316" max="13316" width="10.42578125" style="18" customWidth="1"/>
    <col min="13317" max="13317" width="20.140625" style="18" customWidth="1"/>
    <col min="13318" max="13318" width="27.5703125" style="18" customWidth="1"/>
    <col min="13319" max="13319" width="11.28515625" style="18" customWidth="1"/>
    <col min="13320" max="13320" width="11" style="18" customWidth="1"/>
    <col min="13321" max="13321" width="9.140625" style="18"/>
    <col min="13322" max="13322" width="2.7109375" style="18" customWidth="1"/>
    <col min="13323" max="13568" width="9.140625" style="18"/>
    <col min="13569" max="13569" width="2.28515625" style="18" customWidth="1"/>
    <col min="13570" max="13571" width="6" style="18" customWidth="1"/>
    <col min="13572" max="13572" width="10.42578125" style="18" customWidth="1"/>
    <col min="13573" max="13573" width="20.140625" style="18" customWidth="1"/>
    <col min="13574" max="13574" width="27.5703125" style="18" customWidth="1"/>
    <col min="13575" max="13575" width="11.28515625" style="18" customWidth="1"/>
    <col min="13576" max="13576" width="11" style="18" customWidth="1"/>
    <col min="13577" max="13577" width="9.140625" style="18"/>
    <col min="13578" max="13578" width="2.7109375" style="18" customWidth="1"/>
    <col min="13579" max="13824" width="9.140625" style="18"/>
    <col min="13825" max="13825" width="2.28515625" style="18" customWidth="1"/>
    <col min="13826" max="13827" width="6" style="18" customWidth="1"/>
    <col min="13828" max="13828" width="10.42578125" style="18" customWidth="1"/>
    <col min="13829" max="13829" width="20.140625" style="18" customWidth="1"/>
    <col min="13830" max="13830" width="27.5703125" style="18" customWidth="1"/>
    <col min="13831" max="13831" width="11.28515625" style="18" customWidth="1"/>
    <col min="13832" max="13832" width="11" style="18" customWidth="1"/>
    <col min="13833" max="13833" width="9.140625" style="18"/>
    <col min="13834" max="13834" width="2.7109375" style="18" customWidth="1"/>
    <col min="13835" max="14080" width="9.140625" style="18"/>
    <col min="14081" max="14081" width="2.28515625" style="18" customWidth="1"/>
    <col min="14082" max="14083" width="6" style="18" customWidth="1"/>
    <col min="14084" max="14084" width="10.42578125" style="18" customWidth="1"/>
    <col min="14085" max="14085" width="20.140625" style="18" customWidth="1"/>
    <col min="14086" max="14086" width="27.5703125" style="18" customWidth="1"/>
    <col min="14087" max="14087" width="11.28515625" style="18" customWidth="1"/>
    <col min="14088" max="14088" width="11" style="18" customWidth="1"/>
    <col min="14089" max="14089" width="9.140625" style="18"/>
    <col min="14090" max="14090" width="2.7109375" style="18" customWidth="1"/>
    <col min="14091" max="14336" width="9.140625" style="18"/>
    <col min="14337" max="14337" width="2.28515625" style="18" customWidth="1"/>
    <col min="14338" max="14339" width="6" style="18" customWidth="1"/>
    <col min="14340" max="14340" width="10.42578125" style="18" customWidth="1"/>
    <col min="14341" max="14341" width="20.140625" style="18" customWidth="1"/>
    <col min="14342" max="14342" width="27.5703125" style="18" customWidth="1"/>
    <col min="14343" max="14343" width="11.28515625" style="18" customWidth="1"/>
    <col min="14344" max="14344" width="11" style="18" customWidth="1"/>
    <col min="14345" max="14345" width="9.140625" style="18"/>
    <col min="14346" max="14346" width="2.7109375" style="18" customWidth="1"/>
    <col min="14347" max="14592" width="9.140625" style="18"/>
    <col min="14593" max="14593" width="2.28515625" style="18" customWidth="1"/>
    <col min="14594" max="14595" width="6" style="18" customWidth="1"/>
    <col min="14596" max="14596" width="10.42578125" style="18" customWidth="1"/>
    <col min="14597" max="14597" width="20.140625" style="18" customWidth="1"/>
    <col min="14598" max="14598" width="27.5703125" style="18" customWidth="1"/>
    <col min="14599" max="14599" width="11.28515625" style="18" customWidth="1"/>
    <col min="14600" max="14600" width="11" style="18" customWidth="1"/>
    <col min="14601" max="14601" width="9.140625" style="18"/>
    <col min="14602" max="14602" width="2.7109375" style="18" customWidth="1"/>
    <col min="14603" max="14848" width="9.140625" style="18"/>
    <col min="14849" max="14849" width="2.28515625" style="18" customWidth="1"/>
    <col min="14850" max="14851" width="6" style="18" customWidth="1"/>
    <col min="14852" max="14852" width="10.42578125" style="18" customWidth="1"/>
    <col min="14853" max="14853" width="20.140625" style="18" customWidth="1"/>
    <col min="14854" max="14854" width="27.5703125" style="18" customWidth="1"/>
    <col min="14855" max="14855" width="11.28515625" style="18" customWidth="1"/>
    <col min="14856" max="14856" width="11" style="18" customWidth="1"/>
    <col min="14857" max="14857" width="9.140625" style="18"/>
    <col min="14858" max="14858" width="2.7109375" style="18" customWidth="1"/>
    <col min="14859" max="15104" width="9.140625" style="18"/>
    <col min="15105" max="15105" width="2.28515625" style="18" customWidth="1"/>
    <col min="15106" max="15107" width="6" style="18" customWidth="1"/>
    <col min="15108" max="15108" width="10.42578125" style="18" customWidth="1"/>
    <col min="15109" max="15109" width="20.140625" style="18" customWidth="1"/>
    <col min="15110" max="15110" width="27.5703125" style="18" customWidth="1"/>
    <col min="15111" max="15111" width="11.28515625" style="18" customWidth="1"/>
    <col min="15112" max="15112" width="11" style="18" customWidth="1"/>
    <col min="15113" max="15113" width="9.140625" style="18"/>
    <col min="15114" max="15114" width="2.7109375" style="18" customWidth="1"/>
    <col min="15115" max="15360" width="9.140625" style="18"/>
    <col min="15361" max="15361" width="2.28515625" style="18" customWidth="1"/>
    <col min="15362" max="15363" width="6" style="18" customWidth="1"/>
    <col min="15364" max="15364" width="10.42578125" style="18" customWidth="1"/>
    <col min="15365" max="15365" width="20.140625" style="18" customWidth="1"/>
    <col min="15366" max="15366" width="27.5703125" style="18" customWidth="1"/>
    <col min="15367" max="15367" width="11.28515625" style="18" customWidth="1"/>
    <col min="15368" max="15368" width="11" style="18" customWidth="1"/>
    <col min="15369" max="15369" width="9.140625" style="18"/>
    <col min="15370" max="15370" width="2.7109375" style="18" customWidth="1"/>
    <col min="15371" max="15616" width="9.140625" style="18"/>
    <col min="15617" max="15617" width="2.28515625" style="18" customWidth="1"/>
    <col min="15618" max="15619" width="6" style="18" customWidth="1"/>
    <col min="15620" max="15620" width="10.42578125" style="18" customWidth="1"/>
    <col min="15621" max="15621" width="20.140625" style="18" customWidth="1"/>
    <col min="15622" max="15622" width="27.5703125" style="18" customWidth="1"/>
    <col min="15623" max="15623" width="11.28515625" style="18" customWidth="1"/>
    <col min="15624" max="15624" width="11" style="18" customWidth="1"/>
    <col min="15625" max="15625" width="9.140625" style="18"/>
    <col min="15626" max="15626" width="2.7109375" style="18" customWidth="1"/>
    <col min="15627" max="15872" width="9.140625" style="18"/>
    <col min="15873" max="15873" width="2.28515625" style="18" customWidth="1"/>
    <col min="15874" max="15875" width="6" style="18" customWidth="1"/>
    <col min="15876" max="15876" width="10.42578125" style="18" customWidth="1"/>
    <col min="15877" max="15877" width="20.140625" style="18" customWidth="1"/>
    <col min="15878" max="15878" width="27.5703125" style="18" customWidth="1"/>
    <col min="15879" max="15879" width="11.28515625" style="18" customWidth="1"/>
    <col min="15880" max="15880" width="11" style="18" customWidth="1"/>
    <col min="15881" max="15881" width="9.140625" style="18"/>
    <col min="15882" max="15882" width="2.7109375" style="18" customWidth="1"/>
    <col min="15883" max="16128" width="9.140625" style="18"/>
    <col min="16129" max="16129" width="2.28515625" style="18" customWidth="1"/>
    <col min="16130" max="16131" width="6" style="18" customWidth="1"/>
    <col min="16132" max="16132" width="10.42578125" style="18" customWidth="1"/>
    <col min="16133" max="16133" width="20.140625" style="18" customWidth="1"/>
    <col min="16134" max="16134" width="27.5703125" style="18" customWidth="1"/>
    <col min="16135" max="16135" width="11.28515625" style="18" customWidth="1"/>
    <col min="16136" max="16136" width="11" style="18" customWidth="1"/>
    <col min="16137" max="16137" width="9.140625" style="18"/>
    <col min="16138" max="16138" width="2.7109375" style="18" customWidth="1"/>
    <col min="16139" max="16384" width="9.140625" style="18"/>
  </cols>
  <sheetData>
    <row r="2" spans="2:17" x14ac:dyDescent="0.2">
      <c r="B2" s="17" t="s">
        <v>54</v>
      </c>
    </row>
    <row r="3" spans="2:17" x14ac:dyDescent="0.2">
      <c r="B3" s="17" t="s">
        <v>55</v>
      </c>
    </row>
    <row r="4" spans="2:17" x14ac:dyDescent="0.2">
      <c r="B4" s="17"/>
    </row>
    <row r="5" spans="2:17" x14ac:dyDescent="0.2">
      <c r="F5" s="21" t="str">
        <f>IF(E6="Empresa","digite o nome da empresa","digite o nome do Município")</f>
        <v>digite o nome do Município</v>
      </c>
      <c r="G5" s="20"/>
      <c r="H5" s="22" t="s">
        <v>56</v>
      </c>
      <c r="I5" s="20" t="s">
        <v>57</v>
      </c>
    </row>
    <row r="6" spans="2:17" x14ac:dyDescent="0.2">
      <c r="B6" s="23" t="s">
        <v>58</v>
      </c>
      <c r="E6" s="24" t="s">
        <v>56</v>
      </c>
      <c r="F6" s="25" t="s">
        <v>223</v>
      </c>
      <c r="G6" s="20" t="str">
        <f>IF(E6="empresa","",E6)</f>
        <v>Prefeitura Municipal de</v>
      </c>
      <c r="H6" s="20"/>
      <c r="I6" s="20"/>
      <c r="J6" s="26"/>
      <c r="O6" s="26"/>
      <c r="P6" s="26"/>
      <c r="Q6" s="26"/>
    </row>
    <row r="7" spans="2:17" x14ac:dyDescent="0.2">
      <c r="B7" s="23" t="s">
        <v>59</v>
      </c>
      <c r="E7" s="551" t="s">
        <v>224</v>
      </c>
      <c r="F7" s="552"/>
      <c r="G7" s="20"/>
      <c r="H7" s="20"/>
      <c r="I7" s="20"/>
      <c r="J7" s="26"/>
      <c r="O7" s="26"/>
      <c r="P7" s="26"/>
      <c r="Q7" s="26"/>
    </row>
    <row r="8" spans="2:17" x14ac:dyDescent="0.2">
      <c r="B8" s="23" t="s">
        <v>60</v>
      </c>
      <c r="E8" s="549" t="s">
        <v>341</v>
      </c>
      <c r="F8" s="550"/>
      <c r="H8" s="18"/>
      <c r="J8" s="26"/>
      <c r="O8" s="26"/>
      <c r="P8" s="26"/>
      <c r="Q8" s="26"/>
    </row>
    <row r="9" spans="2:17" x14ac:dyDescent="0.2">
      <c r="B9" s="23" t="s">
        <v>61</v>
      </c>
      <c r="E9" s="549" t="s">
        <v>326</v>
      </c>
      <c r="F9" s="550"/>
      <c r="H9" s="18"/>
      <c r="J9" s="26"/>
      <c r="O9" s="26"/>
      <c r="P9" s="26"/>
      <c r="Q9" s="26"/>
    </row>
    <row r="10" spans="2:17" x14ac:dyDescent="0.2">
      <c r="B10" s="23" t="s">
        <v>62</v>
      </c>
      <c r="E10" s="549" t="s">
        <v>73</v>
      </c>
      <c r="F10" s="550"/>
      <c r="H10" s="18"/>
      <c r="J10" s="26"/>
      <c r="O10" s="26"/>
      <c r="P10" s="26"/>
      <c r="Q10" s="26"/>
    </row>
    <row r="11" spans="2:17" x14ac:dyDescent="0.2">
      <c r="B11" s="23" t="s">
        <v>64</v>
      </c>
      <c r="E11" s="553">
        <v>45473</v>
      </c>
      <c r="F11" s="552"/>
      <c r="H11" s="18"/>
      <c r="J11" s="26"/>
      <c r="O11" s="26"/>
      <c r="P11" s="26"/>
      <c r="Q11" s="26"/>
    </row>
    <row r="12" spans="2:17" x14ac:dyDescent="0.2">
      <c r="B12" s="23"/>
      <c r="H12" s="18"/>
      <c r="J12" s="26"/>
      <c r="O12" s="26"/>
      <c r="P12" s="26"/>
      <c r="Q12" s="26"/>
    </row>
    <row r="13" spans="2:17" x14ac:dyDescent="0.2">
      <c r="B13" s="23" t="s">
        <v>65</v>
      </c>
      <c r="E13" s="554" t="s">
        <v>327</v>
      </c>
      <c r="F13" s="554"/>
      <c r="H13" s="18"/>
      <c r="J13" s="26"/>
      <c r="O13" s="26"/>
      <c r="P13" s="26"/>
      <c r="Q13" s="26"/>
    </row>
    <row r="14" spans="2:17" x14ac:dyDescent="0.2">
      <c r="B14" s="555" t="s">
        <v>66</v>
      </c>
      <c r="C14" s="555"/>
      <c r="D14" s="555"/>
      <c r="E14" s="556">
        <v>149345</v>
      </c>
      <c r="F14" s="554"/>
      <c r="H14" s="20" t="s">
        <v>66</v>
      </c>
      <c r="I14" s="20" t="s">
        <v>67</v>
      </c>
      <c r="J14" s="26"/>
      <c r="O14" s="26"/>
      <c r="P14" s="26"/>
      <c r="Q14" s="26"/>
    </row>
    <row r="15" spans="2:17" x14ac:dyDescent="0.2">
      <c r="B15" s="27"/>
      <c r="C15" s="27"/>
      <c r="D15" s="27"/>
      <c r="E15" s="28"/>
      <c r="F15" s="28"/>
      <c r="H15" s="20"/>
      <c r="I15" s="20"/>
      <c r="J15" s="26"/>
      <c r="O15" s="26"/>
      <c r="P15" s="26"/>
      <c r="Q15" s="26"/>
    </row>
    <row r="16" spans="2:17" x14ac:dyDescent="0.2">
      <c r="B16" s="23" t="s">
        <v>68</v>
      </c>
      <c r="E16" s="557" t="s">
        <v>288</v>
      </c>
      <c r="F16" s="557"/>
      <c r="H16" s="20"/>
      <c r="I16" s="20"/>
      <c r="J16" s="26"/>
      <c r="O16" s="26"/>
      <c r="P16" s="26"/>
      <c r="Q16" s="26"/>
    </row>
    <row r="17" spans="2:17" x14ac:dyDescent="0.2">
      <c r="B17" s="23" t="s">
        <v>69</v>
      </c>
      <c r="E17" s="557" t="s">
        <v>289</v>
      </c>
      <c r="F17" s="557"/>
      <c r="H17" s="20"/>
      <c r="I17" s="20"/>
      <c r="J17" s="26"/>
      <c r="O17" s="26"/>
      <c r="P17" s="26"/>
      <c r="Q17" s="26"/>
    </row>
    <row r="18" spans="2:17" x14ac:dyDescent="0.2">
      <c r="H18" s="20"/>
      <c r="I18" s="20"/>
      <c r="J18" s="26"/>
      <c r="O18" s="26"/>
      <c r="P18" s="26"/>
      <c r="Q18" s="26"/>
    </row>
    <row r="19" spans="2:17" x14ac:dyDescent="0.2">
      <c r="B19" s="23" t="s">
        <v>70</v>
      </c>
      <c r="E19" s="557" t="s">
        <v>71</v>
      </c>
      <c r="F19" s="557"/>
      <c r="G19" s="20" t="s">
        <v>71</v>
      </c>
      <c r="H19" s="20" t="s">
        <v>72</v>
      </c>
      <c r="I19" s="20"/>
      <c r="J19" s="26"/>
      <c r="L19" s="20" t="s">
        <v>73</v>
      </c>
      <c r="M19" s="20" t="s">
        <v>63</v>
      </c>
      <c r="O19" s="26"/>
      <c r="P19" s="26"/>
      <c r="Q19" s="26"/>
    </row>
    <row r="20" spans="2:17" x14ac:dyDescent="0.2">
      <c r="B20" s="23"/>
      <c r="E20" s="23"/>
      <c r="H20" s="18"/>
      <c r="J20" s="26"/>
      <c r="O20" s="26"/>
      <c r="P20" s="26"/>
      <c r="Q20" s="26"/>
    </row>
    <row r="21" spans="2:17" x14ac:dyDescent="0.2">
      <c r="B21" s="23" t="s">
        <v>74</v>
      </c>
      <c r="E21" s="29">
        <v>3</v>
      </c>
      <c r="F21" s="18" t="s">
        <v>28</v>
      </c>
      <c r="G21" s="20">
        <v>2</v>
      </c>
      <c r="H21" s="20">
        <v>5</v>
      </c>
      <c r="I21" s="20"/>
      <c r="J21" s="26"/>
      <c r="O21" s="26"/>
      <c r="P21" s="26"/>
      <c r="Q21" s="26"/>
    </row>
    <row r="22" spans="2:17" x14ac:dyDescent="0.2">
      <c r="B22" s="23" t="s">
        <v>75</v>
      </c>
      <c r="E22" s="549" t="s">
        <v>76</v>
      </c>
      <c r="F22" s="550"/>
      <c r="G22" s="20"/>
      <c r="H22" s="20"/>
      <c r="I22" s="20"/>
      <c r="J22" s="26"/>
      <c r="L22" s="20" t="s">
        <v>76</v>
      </c>
      <c r="M22" s="20" t="s">
        <v>77</v>
      </c>
      <c r="O22" s="26"/>
      <c r="P22" s="26"/>
      <c r="Q22" s="26"/>
    </row>
    <row r="23" spans="2:17" ht="12.75" customHeight="1" x14ac:dyDescent="0.2">
      <c r="B23" s="567" t="s">
        <v>78</v>
      </c>
      <c r="C23" s="567"/>
      <c r="D23" s="567"/>
      <c r="E23" s="30">
        <v>50</v>
      </c>
      <c r="F23" s="18" t="s">
        <v>28</v>
      </c>
      <c r="H23" s="18"/>
      <c r="J23" s="26"/>
      <c r="O23" s="26"/>
      <c r="P23" s="26"/>
      <c r="Q23" s="26"/>
    </row>
    <row r="24" spans="2:17" x14ac:dyDescent="0.2">
      <c r="B24" s="567"/>
      <c r="C24" s="567"/>
      <c r="D24" s="567"/>
      <c r="J24" s="26"/>
      <c r="O24" s="26"/>
      <c r="P24" s="26"/>
      <c r="Q24" s="26"/>
    </row>
    <row r="25" spans="2:17" ht="5.25" customHeight="1" x14ac:dyDescent="0.2">
      <c r="B25" s="567"/>
      <c r="C25" s="567"/>
      <c r="D25" s="567"/>
      <c r="J25" s="26"/>
      <c r="O25" s="26"/>
      <c r="P25" s="26"/>
      <c r="Q25" s="26"/>
    </row>
    <row r="26" spans="2:17" ht="5.25" customHeight="1" x14ac:dyDescent="0.2">
      <c r="B26" s="567"/>
      <c r="C26" s="567"/>
      <c r="D26" s="567"/>
      <c r="J26" s="26"/>
      <c r="O26" s="26"/>
      <c r="P26" s="26"/>
      <c r="Q26" s="26"/>
    </row>
    <row r="27" spans="2:17" ht="5.25" customHeight="1" x14ac:dyDescent="0.2"/>
    <row r="28" spans="2:17" ht="5.25" customHeight="1" thickBot="1" x14ac:dyDescent="0.25"/>
    <row r="29" spans="2:17" ht="16.5" thickBot="1" x14ac:dyDescent="0.3">
      <c r="B29" s="568" t="s">
        <v>79</v>
      </c>
      <c r="C29" s="569"/>
      <c r="D29" s="569"/>
      <c r="E29" s="569"/>
      <c r="F29" s="569"/>
      <c r="G29" s="569"/>
      <c r="H29" s="569"/>
      <c r="I29" s="570"/>
      <c r="O29" s="20"/>
      <c r="P29" s="20"/>
      <c r="Q29" s="20"/>
    </row>
    <row r="30" spans="2:17" ht="6" customHeight="1" thickBot="1" x14ac:dyDescent="0.25">
      <c r="O30" s="20"/>
      <c r="P30" s="20"/>
      <c r="Q30" s="20"/>
    </row>
    <row r="31" spans="2:17" ht="26.25" customHeight="1" thickBot="1" x14ac:dyDescent="0.25">
      <c r="B31" s="571" t="s">
        <v>80</v>
      </c>
      <c r="C31" s="572"/>
      <c r="D31" s="573" t="s">
        <v>81</v>
      </c>
      <c r="E31" s="573"/>
      <c r="F31" s="573"/>
      <c r="G31" s="573"/>
      <c r="H31" s="573"/>
      <c r="I31" s="574"/>
      <c r="O31" s="20"/>
      <c r="P31" s="20"/>
      <c r="Q31" s="20"/>
    </row>
    <row r="32" spans="2:17" ht="5.25" customHeight="1" thickBot="1" x14ac:dyDescent="0.25">
      <c r="O32" s="20"/>
      <c r="P32" s="20"/>
      <c r="Q32" s="20"/>
    </row>
    <row r="33" spans="2:17" ht="13.5" thickBot="1" x14ac:dyDescent="0.25">
      <c r="B33" s="575" t="s">
        <v>82</v>
      </c>
      <c r="C33" s="576"/>
      <c r="D33" s="576"/>
      <c r="E33" s="576"/>
      <c r="F33" s="576"/>
      <c r="G33" s="31" t="s">
        <v>83</v>
      </c>
      <c r="H33" s="31" t="s">
        <v>84</v>
      </c>
      <c r="I33" s="32" t="s">
        <v>85</v>
      </c>
      <c r="M33" s="20" t="s">
        <v>86</v>
      </c>
      <c r="O33" s="20"/>
      <c r="P33" s="20" t="s">
        <v>87</v>
      </c>
      <c r="Q33" s="20" t="s">
        <v>85</v>
      </c>
    </row>
    <row r="34" spans="2:17" x14ac:dyDescent="0.2">
      <c r="B34" s="33" t="s">
        <v>88</v>
      </c>
      <c r="C34" s="577" t="s">
        <v>89</v>
      </c>
      <c r="D34" s="578"/>
      <c r="E34" s="578"/>
      <c r="F34" s="579"/>
      <c r="G34" s="34">
        <v>3.94</v>
      </c>
      <c r="H34" s="35">
        <f>VLOOKUP(J34,$O$34:$Q$74,2,FALSE)</f>
        <v>3.8</v>
      </c>
      <c r="I34" s="35">
        <f>VLOOKUP(J34,$O$34:$Q$74,3,FALSE)</f>
        <v>4.67</v>
      </c>
      <c r="J34" s="20" t="str">
        <f>CONCATENATE(LEFT($D$31,1),"a")</f>
        <v>2a</v>
      </c>
      <c r="K34" s="20">
        <v>0</v>
      </c>
      <c r="L34" s="20">
        <f>IF($G$51&gt;$I$51,I34,10000)</f>
        <v>10000</v>
      </c>
      <c r="M34" s="20" t="s">
        <v>81</v>
      </c>
      <c r="O34" s="20" t="s">
        <v>90</v>
      </c>
      <c r="P34" s="36">
        <v>3</v>
      </c>
      <c r="Q34" s="36">
        <v>5.5</v>
      </c>
    </row>
    <row r="35" spans="2:17" x14ac:dyDescent="0.2">
      <c r="B35" s="37" t="s">
        <v>91</v>
      </c>
      <c r="C35" s="564" t="s">
        <v>92</v>
      </c>
      <c r="D35" s="565"/>
      <c r="E35" s="565"/>
      <c r="F35" s="566"/>
      <c r="G35" s="34">
        <v>0.5</v>
      </c>
      <c r="H35" s="35">
        <f>VLOOKUP(J35,$O$34:$Q$74,2,FALSE)</f>
        <v>0.32</v>
      </c>
      <c r="I35" s="35">
        <f>VLOOKUP(J35,$O$34:$Q$74,3,FALSE)</f>
        <v>0.74</v>
      </c>
      <c r="J35" s="20" t="str">
        <f>CONCATENATE(LEFT($D$31,1),"b")</f>
        <v>2b</v>
      </c>
      <c r="K35" s="20">
        <v>0</v>
      </c>
      <c r="L35" s="20">
        <f>IF($G$51&gt;$I$51,I35,10000)</f>
        <v>10000</v>
      </c>
      <c r="M35" s="20" t="s">
        <v>93</v>
      </c>
      <c r="O35" s="20" t="s">
        <v>94</v>
      </c>
      <c r="P35" s="36">
        <v>0.8</v>
      </c>
      <c r="Q35" s="36">
        <v>1</v>
      </c>
    </row>
    <row r="36" spans="2:17" x14ac:dyDescent="0.2">
      <c r="B36" s="37" t="s">
        <v>95</v>
      </c>
      <c r="C36" s="564" t="s">
        <v>96</v>
      </c>
      <c r="D36" s="565"/>
      <c r="E36" s="565"/>
      <c r="F36" s="566"/>
      <c r="G36" s="34">
        <v>0.7</v>
      </c>
      <c r="H36" s="35">
        <f>VLOOKUP(J36,$O$34:$Q$74,2,FALSE)</f>
        <v>0.5</v>
      </c>
      <c r="I36" s="35">
        <f>VLOOKUP(J36,$O$34:$Q$74,3,FALSE)</f>
        <v>0.97</v>
      </c>
      <c r="J36" s="20" t="str">
        <f>CONCATENATE(LEFT($D$31,1),"c")</f>
        <v>2c</v>
      </c>
      <c r="K36" s="20">
        <v>0</v>
      </c>
      <c r="L36" s="20">
        <f>IF($G$51&gt;$I$51,I36,10000)</f>
        <v>10000</v>
      </c>
      <c r="M36" s="20" t="s">
        <v>97</v>
      </c>
      <c r="O36" s="20" t="s">
        <v>98</v>
      </c>
      <c r="P36" s="36">
        <v>0.97</v>
      </c>
      <c r="Q36" s="36">
        <v>1.27</v>
      </c>
    </row>
    <row r="37" spans="2:17" x14ac:dyDescent="0.2">
      <c r="B37" s="37" t="s">
        <v>99</v>
      </c>
      <c r="C37" s="564" t="s">
        <v>100</v>
      </c>
      <c r="D37" s="565"/>
      <c r="E37" s="565"/>
      <c r="F37" s="566"/>
      <c r="G37" s="34">
        <v>1.1000000000000001</v>
      </c>
      <c r="H37" s="35">
        <f>VLOOKUP(J37,$O$34:$Q$74,2,FALSE)</f>
        <v>1.02</v>
      </c>
      <c r="I37" s="35">
        <f>VLOOKUP(J37,$O$34:$Q$74,3,FALSE)</f>
        <v>1.21</v>
      </c>
      <c r="J37" s="20" t="str">
        <f>CONCATENATE(LEFT($D$31,1),"d")</f>
        <v>2d</v>
      </c>
      <c r="K37" s="20">
        <v>0</v>
      </c>
      <c r="L37" s="20">
        <f>IF($G$51&gt;$I$51,I37,10000)</f>
        <v>10000</v>
      </c>
      <c r="M37" s="20" t="s">
        <v>101</v>
      </c>
      <c r="O37" s="20" t="s">
        <v>102</v>
      </c>
      <c r="P37" s="36">
        <v>0.59</v>
      </c>
      <c r="Q37" s="36">
        <v>1.39</v>
      </c>
    </row>
    <row r="38" spans="2:17" x14ac:dyDescent="0.2">
      <c r="B38" s="37" t="s">
        <v>103</v>
      </c>
      <c r="C38" s="564" t="s">
        <v>104</v>
      </c>
      <c r="D38" s="565"/>
      <c r="E38" s="565"/>
      <c r="F38" s="566"/>
      <c r="G38" s="34">
        <v>6.7</v>
      </c>
      <c r="H38" s="35">
        <f>VLOOKUP(J38,$O$34:$Q$74,2,FALSE)</f>
        <v>6.64</v>
      </c>
      <c r="I38" s="35">
        <f>VLOOKUP(J38,$O$34:$Q$74,3,FALSE)</f>
        <v>8.69</v>
      </c>
      <c r="J38" s="20" t="str">
        <f>CONCATENATE(LEFT($D$31,1),"e")</f>
        <v>2e</v>
      </c>
      <c r="K38" s="20">
        <v>0</v>
      </c>
      <c r="L38" s="20">
        <f>IF($G$51&gt;$I$51,I38,10000)</f>
        <v>10000</v>
      </c>
      <c r="M38" s="20" t="s">
        <v>105</v>
      </c>
      <c r="O38" s="20" t="s">
        <v>106</v>
      </c>
      <c r="P38" s="36">
        <v>6.16</v>
      </c>
      <c r="Q38" s="36">
        <v>8.9600000000000009</v>
      </c>
    </row>
    <row r="39" spans="2:17" x14ac:dyDescent="0.2">
      <c r="B39" s="37" t="s">
        <v>107</v>
      </c>
      <c r="C39" s="580" t="s">
        <v>19</v>
      </c>
      <c r="D39" s="581"/>
      <c r="E39" s="581"/>
      <c r="F39" s="582"/>
      <c r="G39" s="38">
        <f>G40+G41+G42</f>
        <v>6.65</v>
      </c>
      <c r="H39" s="558" t="s">
        <v>108</v>
      </c>
      <c r="I39" s="559"/>
      <c r="O39" s="20" t="s">
        <v>109</v>
      </c>
      <c r="P39" s="36">
        <v>3.8</v>
      </c>
      <c r="Q39" s="36">
        <v>4.67</v>
      </c>
    </row>
    <row r="40" spans="2:17" x14ac:dyDescent="0.2">
      <c r="B40" s="37"/>
      <c r="C40" s="39"/>
      <c r="D40" s="40" t="s">
        <v>20</v>
      </c>
      <c r="E40" s="40"/>
      <c r="F40" s="41"/>
      <c r="G40" s="42">
        <v>0.65</v>
      </c>
      <c r="H40" s="560"/>
      <c r="I40" s="561"/>
      <c r="K40" s="20">
        <v>0</v>
      </c>
      <c r="L40" s="20">
        <f>IF($G$51&gt;$I$51,3,10000)</f>
        <v>10000</v>
      </c>
      <c r="O40" s="20"/>
      <c r="P40" s="36"/>
      <c r="Q40" s="36"/>
    </row>
    <row r="41" spans="2:17" x14ac:dyDescent="0.2">
      <c r="B41" s="37"/>
      <c r="C41" s="43"/>
      <c r="D41" s="44" t="s">
        <v>21</v>
      </c>
      <c r="E41" s="43"/>
      <c r="F41" s="45"/>
      <c r="G41" s="42">
        <v>3</v>
      </c>
      <c r="H41" s="560"/>
      <c r="I41" s="561"/>
      <c r="K41" s="20">
        <v>0</v>
      </c>
      <c r="L41" s="20">
        <f>IF($G$51&gt;$I$51,0.65,10000)</f>
        <v>10000</v>
      </c>
      <c r="O41" s="20"/>
      <c r="P41" s="36"/>
      <c r="Q41" s="36"/>
    </row>
    <row r="42" spans="2:17" x14ac:dyDescent="0.2">
      <c r="B42" s="37"/>
      <c r="C42" s="39"/>
      <c r="D42" s="46" t="s">
        <v>110</v>
      </c>
      <c r="E42" s="39"/>
      <c r="F42" s="41"/>
      <c r="G42" s="38">
        <f>IF(E22="valor total da obra",$E$21,$E$21*$E$23/100)</f>
        <v>3</v>
      </c>
      <c r="H42" s="560"/>
      <c r="I42" s="561"/>
      <c r="O42" s="20"/>
      <c r="P42" s="36"/>
      <c r="Q42" s="36"/>
    </row>
    <row r="43" spans="2:17" x14ac:dyDescent="0.2">
      <c r="B43" s="37"/>
      <c r="C43" s="39"/>
      <c r="D43" s="46" t="s">
        <v>111</v>
      </c>
      <c r="E43" s="39"/>
      <c r="F43" s="41"/>
      <c r="G43" s="38">
        <f>IF(E10="desonerados",4.5,0)</f>
        <v>0</v>
      </c>
      <c r="H43" s="560"/>
      <c r="I43" s="561"/>
      <c r="O43" s="20"/>
      <c r="P43" s="36"/>
      <c r="Q43" s="36"/>
    </row>
    <row r="44" spans="2:17" x14ac:dyDescent="0.2">
      <c r="B44" s="37" t="s">
        <v>107</v>
      </c>
      <c r="C44" s="564" t="s">
        <v>112</v>
      </c>
      <c r="D44" s="565"/>
      <c r="E44" s="565"/>
      <c r="F44" s="566"/>
      <c r="G44" s="38">
        <f>IF(E10="desonerados",SUM(G40:G43),G39)</f>
        <v>6.65</v>
      </c>
      <c r="H44" s="562"/>
      <c r="I44" s="563"/>
      <c r="O44" s="20" t="s">
        <v>113</v>
      </c>
      <c r="P44" s="36">
        <v>0.32</v>
      </c>
      <c r="Q44" s="36">
        <v>0.74</v>
      </c>
    </row>
    <row r="45" spans="2:17" ht="4.5" customHeight="1" thickBot="1" x14ac:dyDescent="0.25">
      <c r="O45" s="20" t="s">
        <v>114</v>
      </c>
      <c r="P45" s="36">
        <v>0.5</v>
      </c>
      <c r="Q45" s="36">
        <v>0.97</v>
      </c>
    </row>
    <row r="46" spans="2:17" ht="13.5" thickBot="1" x14ac:dyDescent="0.25">
      <c r="B46" s="584" t="s">
        <v>115</v>
      </c>
      <c r="C46" s="585"/>
      <c r="D46" s="585"/>
      <c r="E46" s="585"/>
      <c r="F46" s="585"/>
      <c r="G46" s="586"/>
      <c r="H46" s="47"/>
      <c r="O46" s="20" t="s">
        <v>116</v>
      </c>
      <c r="P46" s="36">
        <v>1.02</v>
      </c>
      <c r="Q46" s="36">
        <v>1.21</v>
      </c>
    </row>
    <row r="47" spans="2:17" ht="22.5" customHeight="1" x14ac:dyDescent="0.2">
      <c r="B47" s="587"/>
      <c r="C47" s="589" t="s">
        <v>117</v>
      </c>
      <c r="D47" s="591" t="s">
        <v>118</v>
      </c>
      <c r="E47" s="591"/>
      <c r="F47" s="591"/>
      <c r="G47" s="592">
        <v>-1</v>
      </c>
      <c r="O47" s="20" t="s">
        <v>119</v>
      </c>
      <c r="P47" s="36">
        <v>6.64</v>
      </c>
      <c r="Q47" s="36">
        <v>8.69</v>
      </c>
    </row>
    <row r="48" spans="2:17" ht="21" customHeight="1" thickBot="1" x14ac:dyDescent="0.25">
      <c r="B48" s="588"/>
      <c r="C48" s="590"/>
      <c r="D48" s="594" t="s">
        <v>120</v>
      </c>
      <c r="E48" s="594"/>
      <c r="F48" s="594"/>
      <c r="G48" s="593"/>
      <c r="O48" s="20" t="s">
        <v>121</v>
      </c>
      <c r="P48" s="36">
        <v>3.43</v>
      </c>
      <c r="Q48" s="36">
        <v>6.71</v>
      </c>
    </row>
    <row r="49" spans="2:17" ht="3" customHeight="1" thickBot="1" x14ac:dyDescent="0.25">
      <c r="O49" s="20" t="s">
        <v>122</v>
      </c>
      <c r="P49" s="36">
        <v>0.28000000000000003</v>
      </c>
      <c r="Q49" s="36">
        <v>0.75</v>
      </c>
    </row>
    <row r="50" spans="2:17" ht="15" customHeight="1" thickBot="1" x14ac:dyDescent="0.25">
      <c r="B50" s="595" t="s">
        <v>123</v>
      </c>
      <c r="C50" s="596"/>
      <c r="D50" s="596"/>
      <c r="E50" s="596"/>
      <c r="F50" s="596"/>
      <c r="G50" s="596"/>
      <c r="H50" s="48" t="s">
        <v>84</v>
      </c>
      <c r="I50" s="49" t="s">
        <v>85</v>
      </c>
      <c r="O50" s="20" t="s">
        <v>124</v>
      </c>
      <c r="P50" s="36">
        <v>1</v>
      </c>
      <c r="Q50" s="36">
        <v>1.74</v>
      </c>
    </row>
    <row r="51" spans="2:17" ht="15" x14ac:dyDescent="0.2">
      <c r="B51" s="597" t="str">
        <f>IF(G51&gt;I51,"BDI Sem Desoneração: ! FORA DOS LIMITES !",IF(G51&lt;H51,"BDI Sem Desoneração: ! FORA DOS LIMITES !","BDI Sem Desoneração:"))</f>
        <v>BDI Sem Desoneração:</v>
      </c>
      <c r="C51" s="597"/>
      <c r="D51" s="597"/>
      <c r="E51" s="597"/>
      <c r="F51" s="597"/>
      <c r="G51" s="50">
        <f>100*ROUND((((1+G34/100+G35/100+G36/100)*(1+G37/100)*(1+G38/100))/(1-G39/100))-1,4)</f>
        <v>21.5</v>
      </c>
      <c r="H51" s="35">
        <f>VLOOKUP(J51,$O$34:$Q$74,2,FALSE)</f>
        <v>19.600000000000001</v>
      </c>
      <c r="I51" s="35">
        <f>VLOOKUP(J51,$O$34:$Q$74,3,FALSE)</f>
        <v>24.23</v>
      </c>
      <c r="J51" s="20" t="str">
        <f>CONCATENATE(LEFT($D$31,1),"F")</f>
        <v>2F</v>
      </c>
      <c r="O51" s="20" t="s">
        <v>125</v>
      </c>
      <c r="P51" s="36">
        <v>0.94</v>
      </c>
      <c r="Q51" s="36">
        <v>1.17</v>
      </c>
    </row>
    <row r="52" spans="2:17" ht="15" x14ac:dyDescent="0.2">
      <c r="B52" s="597" t="s">
        <v>126</v>
      </c>
      <c r="C52" s="597"/>
      <c r="D52" s="597"/>
      <c r="E52" s="597"/>
      <c r="F52" s="597"/>
      <c r="G52" s="51">
        <f>100*ROUND((((1+G34/100+G35/100+G36/100)*(1+G37/100)*(1+G38/100))/(1-G44/100))-1,4)</f>
        <v>21.5</v>
      </c>
      <c r="H52" s="37"/>
      <c r="I52" s="37"/>
      <c r="J52" s="20">
        <f>IF(G51&gt;I51,1,IF(G51&lt;H51,1,0))</f>
        <v>0</v>
      </c>
      <c r="O52" s="20" t="s">
        <v>127</v>
      </c>
      <c r="P52" s="36">
        <v>6.74</v>
      </c>
      <c r="Q52" s="36">
        <v>9.4</v>
      </c>
    </row>
    <row r="53" spans="2:17" ht="9" customHeight="1" x14ac:dyDescent="0.2">
      <c r="B53" s="52"/>
      <c r="C53" s="52"/>
      <c r="D53" s="52"/>
      <c r="E53" s="52"/>
      <c r="F53" s="52"/>
      <c r="G53" s="53"/>
      <c r="I53" s="19"/>
      <c r="J53" s="20"/>
      <c r="O53" s="20"/>
      <c r="P53" s="36"/>
      <c r="Q53" s="36"/>
    </row>
    <row r="54" spans="2:17" ht="71.25" customHeight="1" x14ac:dyDescent="0.2">
      <c r="B54" s="598" t="s">
        <v>128</v>
      </c>
      <c r="C54" s="598"/>
      <c r="D54" s="598"/>
      <c r="E54" s="598"/>
      <c r="F54" s="598"/>
      <c r="G54" s="598"/>
      <c r="H54" s="598"/>
      <c r="I54" s="598"/>
      <c r="O54" s="20"/>
      <c r="P54" s="36"/>
      <c r="Q54" s="36"/>
    </row>
    <row r="55" spans="2:17" ht="46.5" customHeight="1" x14ac:dyDescent="0.2">
      <c r="B55" s="599" t="s">
        <v>129</v>
      </c>
      <c r="C55" s="599"/>
      <c r="D55" s="599"/>
      <c r="E55" s="599"/>
      <c r="F55" s="599"/>
      <c r="G55" s="599"/>
      <c r="H55" s="599"/>
      <c r="I55" s="599"/>
      <c r="O55" s="20" t="s">
        <v>130</v>
      </c>
      <c r="P55" s="36">
        <v>0.25</v>
      </c>
      <c r="Q55" s="36">
        <v>0.56000000000000005</v>
      </c>
    </row>
    <row r="56" spans="2:17" ht="11.25" customHeight="1" x14ac:dyDescent="0.2">
      <c r="B56" s="583" t="s">
        <v>131</v>
      </c>
      <c r="C56" s="583"/>
      <c r="D56" s="583"/>
      <c r="E56" s="583"/>
      <c r="F56" s="583"/>
      <c r="G56" s="583"/>
      <c r="H56" s="583"/>
      <c r="I56" s="583"/>
      <c r="O56" s="20" t="s">
        <v>132</v>
      </c>
      <c r="P56" s="36">
        <v>1</v>
      </c>
      <c r="Q56" s="36">
        <v>1.97</v>
      </c>
    </row>
    <row r="57" spans="2:17" ht="15.75" customHeight="1" x14ac:dyDescent="0.2">
      <c r="B57" s="583"/>
      <c r="C57" s="583"/>
      <c r="D57" s="583"/>
      <c r="E57" s="583"/>
      <c r="F57" s="583"/>
      <c r="G57" s="583"/>
      <c r="H57" s="583"/>
      <c r="I57" s="583"/>
      <c r="O57" s="20" t="s">
        <v>133</v>
      </c>
      <c r="P57" s="36">
        <v>1.01</v>
      </c>
      <c r="Q57" s="36">
        <v>1.1100000000000001</v>
      </c>
    </row>
    <row r="58" spans="2:17" ht="68.25" customHeight="1" x14ac:dyDescent="0.2">
      <c r="O58" s="20" t="s">
        <v>134</v>
      </c>
      <c r="P58" s="36">
        <v>8</v>
      </c>
      <c r="Q58" s="36">
        <v>9.51</v>
      </c>
    </row>
    <row r="59" spans="2:17" ht="68.25" customHeight="1" x14ac:dyDescent="0.2">
      <c r="O59" s="20" t="s">
        <v>135</v>
      </c>
      <c r="P59" s="36">
        <v>4</v>
      </c>
      <c r="Q59" s="36">
        <v>7.85</v>
      </c>
    </row>
    <row r="60" spans="2:17" x14ac:dyDescent="0.2">
      <c r="O60" s="20" t="s">
        <v>136</v>
      </c>
      <c r="P60" s="36">
        <v>0.81</v>
      </c>
      <c r="Q60" s="36">
        <v>1.99</v>
      </c>
    </row>
    <row r="61" spans="2:17" x14ac:dyDescent="0.2">
      <c r="O61" s="20" t="s">
        <v>137</v>
      </c>
      <c r="P61" s="36">
        <v>1.46</v>
      </c>
      <c r="Q61" s="36">
        <v>3.16</v>
      </c>
    </row>
    <row r="62" spans="2:17" x14ac:dyDescent="0.2">
      <c r="O62" s="20" t="s">
        <v>138</v>
      </c>
      <c r="P62" s="36">
        <v>0.94</v>
      </c>
      <c r="Q62" s="36">
        <v>1.33</v>
      </c>
    </row>
    <row r="63" spans="2:17" x14ac:dyDescent="0.2">
      <c r="O63" s="20" t="s">
        <v>139</v>
      </c>
      <c r="P63" s="36">
        <v>7.14</v>
      </c>
      <c r="Q63" s="36">
        <v>10.43</v>
      </c>
    </row>
    <row r="64" spans="2:17" x14ac:dyDescent="0.2">
      <c r="O64" s="20" t="s">
        <v>140</v>
      </c>
      <c r="P64" s="36">
        <v>1.5</v>
      </c>
      <c r="Q64" s="36">
        <v>4.49</v>
      </c>
    </row>
    <row r="65" spans="15:17" x14ac:dyDescent="0.2">
      <c r="O65" s="20" t="s">
        <v>141</v>
      </c>
      <c r="P65" s="36">
        <v>0.3</v>
      </c>
      <c r="Q65" s="36">
        <v>0.82</v>
      </c>
    </row>
    <row r="66" spans="15:17" x14ac:dyDescent="0.2">
      <c r="O66" s="20" t="s">
        <v>142</v>
      </c>
      <c r="P66" s="36">
        <v>0.56000000000000005</v>
      </c>
      <c r="Q66" s="36">
        <v>0.89</v>
      </c>
    </row>
    <row r="67" spans="15:17" x14ac:dyDescent="0.2">
      <c r="O67" s="20" t="s">
        <v>143</v>
      </c>
      <c r="P67" s="36">
        <v>0.85</v>
      </c>
      <c r="Q67" s="36">
        <v>1.1100000000000001</v>
      </c>
    </row>
    <row r="68" spans="15:17" x14ac:dyDescent="0.2">
      <c r="O68" s="20" t="s">
        <v>144</v>
      </c>
      <c r="P68" s="36">
        <v>3.5</v>
      </c>
      <c r="Q68" s="36">
        <v>6.22</v>
      </c>
    </row>
    <row r="69" spans="15:17" x14ac:dyDescent="0.2">
      <c r="O69" s="20" t="s">
        <v>145</v>
      </c>
      <c r="P69" s="36">
        <v>20.34</v>
      </c>
      <c r="Q69" s="36">
        <v>25</v>
      </c>
    </row>
    <row r="70" spans="15:17" x14ac:dyDescent="0.2">
      <c r="O70" s="20" t="s">
        <v>146</v>
      </c>
      <c r="P70" s="36">
        <v>19.600000000000001</v>
      </c>
      <c r="Q70" s="36">
        <v>24.23</v>
      </c>
    </row>
    <row r="71" spans="15:17" x14ac:dyDescent="0.2">
      <c r="O71" s="20" t="s">
        <v>147</v>
      </c>
      <c r="P71" s="36">
        <v>20.76</v>
      </c>
      <c r="Q71" s="36">
        <v>26.44</v>
      </c>
    </row>
    <row r="72" spans="15:17" x14ac:dyDescent="0.2">
      <c r="O72" s="20" t="s">
        <v>148</v>
      </c>
      <c r="P72" s="36">
        <v>24</v>
      </c>
      <c r="Q72" s="36">
        <v>27.86</v>
      </c>
    </row>
    <row r="73" spans="15:17" x14ac:dyDescent="0.2">
      <c r="O73" s="20" t="s">
        <v>149</v>
      </c>
      <c r="P73" s="36">
        <v>22.8</v>
      </c>
      <c r="Q73" s="36">
        <v>30.95</v>
      </c>
    </row>
    <row r="74" spans="15:17" x14ac:dyDescent="0.2">
      <c r="O74" s="20" t="s">
        <v>150</v>
      </c>
      <c r="P74" s="36">
        <v>11.1</v>
      </c>
      <c r="Q74" s="36">
        <v>16.8</v>
      </c>
    </row>
    <row r="75" spans="15:17" x14ac:dyDescent="0.2">
      <c r="O75" s="20"/>
      <c r="P75" s="20"/>
      <c r="Q75" s="20"/>
    </row>
    <row r="76" spans="15:17" x14ac:dyDescent="0.2">
      <c r="O76" s="20"/>
      <c r="P76" s="20"/>
      <c r="Q76" s="20"/>
    </row>
    <row r="77" spans="15:17" x14ac:dyDescent="0.2">
      <c r="O77" s="20"/>
      <c r="P77" s="20"/>
      <c r="Q77" s="20"/>
    </row>
    <row r="78" spans="15:17" x14ac:dyDescent="0.2">
      <c r="O78" s="20"/>
      <c r="P78" s="20"/>
      <c r="Q78" s="20"/>
    </row>
    <row r="79" spans="15:17" x14ac:dyDescent="0.2">
      <c r="O79" s="20"/>
      <c r="P79" s="20"/>
      <c r="Q79" s="20"/>
    </row>
    <row r="80" spans="15:17" x14ac:dyDescent="0.2">
      <c r="O80" s="20"/>
      <c r="P80" s="20"/>
      <c r="Q80" s="20"/>
    </row>
    <row r="81" spans="15:17" x14ac:dyDescent="0.2">
      <c r="O81" s="20"/>
      <c r="P81" s="20"/>
      <c r="Q81" s="20"/>
    </row>
    <row r="82" spans="15:17" x14ac:dyDescent="0.2">
      <c r="O82" s="20"/>
      <c r="P82" s="20"/>
      <c r="Q82" s="20"/>
    </row>
    <row r="83" spans="15:17" x14ac:dyDescent="0.2">
      <c r="O83" s="20"/>
      <c r="P83" s="20"/>
      <c r="Q83" s="20"/>
    </row>
    <row r="84" spans="15:17" x14ac:dyDescent="0.2">
      <c r="O84" s="20"/>
      <c r="P84" s="20"/>
      <c r="Q84" s="20"/>
    </row>
    <row r="85" spans="15:17" x14ac:dyDescent="0.2">
      <c r="O85" s="20"/>
      <c r="P85" s="20"/>
      <c r="Q85" s="20"/>
    </row>
    <row r="86" spans="15:17" x14ac:dyDescent="0.2">
      <c r="O86" s="20"/>
      <c r="P86" s="20"/>
      <c r="Q86" s="20"/>
    </row>
    <row r="87" spans="15:17" x14ac:dyDescent="0.2">
      <c r="O87" s="20"/>
      <c r="P87" s="20"/>
      <c r="Q87" s="20"/>
    </row>
    <row r="88" spans="15:17" x14ac:dyDescent="0.2">
      <c r="O88" s="20"/>
      <c r="P88" s="20"/>
      <c r="Q88" s="20"/>
    </row>
    <row r="89" spans="15:17" x14ac:dyDescent="0.2">
      <c r="O89" s="20"/>
      <c r="P89" s="20"/>
      <c r="Q89" s="20"/>
    </row>
  </sheetData>
  <sheetProtection password="EBAE" sheet="1"/>
  <dataConsolidate link="1"/>
  <mergeCells count="37">
    <mergeCell ref="B56:I57"/>
    <mergeCell ref="B46:G46"/>
    <mergeCell ref="B47:B48"/>
    <mergeCell ref="C47:C48"/>
    <mergeCell ref="D47:F47"/>
    <mergeCell ref="G47:G48"/>
    <mergeCell ref="D48:F48"/>
    <mergeCell ref="B50:G50"/>
    <mergeCell ref="B51:F51"/>
    <mergeCell ref="B52:F52"/>
    <mergeCell ref="B54:I54"/>
    <mergeCell ref="B55:I55"/>
    <mergeCell ref="H39:I44"/>
    <mergeCell ref="C44:F44"/>
    <mergeCell ref="B23:D26"/>
    <mergeCell ref="B29:I29"/>
    <mergeCell ref="B31:C31"/>
    <mergeCell ref="D31:I31"/>
    <mergeCell ref="B33:F33"/>
    <mergeCell ref="C34:F34"/>
    <mergeCell ref="C35:F35"/>
    <mergeCell ref="C36:F36"/>
    <mergeCell ref="C37:F37"/>
    <mergeCell ref="C38:F38"/>
    <mergeCell ref="C39:F39"/>
    <mergeCell ref="B14:D14"/>
    <mergeCell ref="E14:F14"/>
    <mergeCell ref="E16:F16"/>
    <mergeCell ref="E17:F17"/>
    <mergeCell ref="E19:F19"/>
    <mergeCell ref="E22:F22"/>
    <mergeCell ref="E7:F7"/>
    <mergeCell ref="E8:F8"/>
    <mergeCell ref="E9:F9"/>
    <mergeCell ref="E10:F10"/>
    <mergeCell ref="E11:F11"/>
    <mergeCell ref="E13:F13"/>
  </mergeCells>
  <conditionalFormatting sqref="B23 E23 H23">
    <cfRule type="expression" dxfId="5" priority="3" stopIfTrue="1">
      <formula>$E$22="valor total da obra"</formula>
    </cfRule>
  </conditionalFormatting>
  <conditionalFormatting sqref="B51:F51">
    <cfRule type="expression" dxfId="4" priority="4" stopIfTrue="1">
      <formula>$J$52=1</formula>
    </cfRule>
  </conditionalFormatting>
  <conditionalFormatting sqref="B54:I54">
    <cfRule type="expression" dxfId="3" priority="2" stopIfTrue="1">
      <formula>$G$51&gt;$I$51</formula>
    </cfRule>
  </conditionalFormatting>
  <conditionalFormatting sqref="E21 G34:G38">
    <cfRule type="cellIs" dxfId="2" priority="6" stopIfTrue="1" operator="notBetween">
      <formula>$H21</formula>
      <formula>$I21</formula>
    </cfRule>
  </conditionalFormatting>
  <conditionalFormatting sqref="F5">
    <cfRule type="expression" dxfId="1" priority="1" stopIfTrue="1">
      <formula>$E$6=0</formula>
    </cfRule>
  </conditionalFormatting>
  <conditionalFormatting sqref="G51">
    <cfRule type="cellIs" dxfId="0" priority="5" stopIfTrue="1" operator="notBetween">
      <formula>$H$51</formula>
      <formula>$I$51</formula>
    </cfRule>
  </conditionalFormatting>
  <dataValidations count="8">
    <dataValidation type="list" allowBlank="1" showInputMessage="1" showErrorMessage="1" sqref="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xr:uid="{00000000-0002-0000-0A00-000000000000}">
      <formula1>regime</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xr:uid="{00000000-0002-0000-0A00-000001000000}">
      <formula1>ente</formula1>
    </dataValidation>
    <dataValidation type="list" allowBlank="1" showInputMessage="1" showErrorMessage="1" sqref="B14:D15 IX14:IZ15 ST14:SV15 ACP14:ACR15 AML14:AMN15 AWH14:AWJ15 BGD14:BGF15 BPZ14:BQB15 BZV14:BZX15 CJR14:CJT15 CTN14:CTP15 DDJ14:DDL15 DNF14:DNH15 DXB14:DXD15 EGX14:EGZ15 EQT14:EQV15 FAP14:FAR15 FKL14:FKN15 FUH14:FUJ15 GED14:GEF15 GNZ14:GOB15 GXV14:GXX15 HHR14:HHT15 HRN14:HRP15 IBJ14:IBL15 ILF14:ILH15 IVB14:IVD15 JEX14:JEZ15 JOT14:JOV15 JYP14:JYR15 KIL14:KIN15 KSH14:KSJ15 LCD14:LCF15 LLZ14:LMB15 LVV14:LVX15 MFR14:MFT15 MPN14:MPP15 MZJ14:MZL15 NJF14:NJH15 NTB14:NTD15 OCX14:OCZ15 OMT14:OMV15 OWP14:OWR15 PGL14:PGN15 PQH14:PQJ15 QAD14:QAF15 QJZ14:QKB15 QTV14:QTX15 RDR14:RDT15 RNN14:RNP15 RXJ14:RXL15 SHF14:SHH15 SRB14:SRD15 TAX14:TAZ15 TKT14:TKV15 TUP14:TUR15 UEL14:UEN15 UOH14:UOJ15 UYD14:UYF15 VHZ14:VIB15 VRV14:VRX15 WBR14:WBT15 WLN14:WLP15 WVJ14:WVL15 B65550:D65551 IX65550:IZ65551 ST65550:SV65551 ACP65550:ACR65551 AML65550:AMN65551 AWH65550:AWJ65551 BGD65550:BGF65551 BPZ65550:BQB65551 BZV65550:BZX65551 CJR65550:CJT65551 CTN65550:CTP65551 DDJ65550:DDL65551 DNF65550:DNH65551 DXB65550:DXD65551 EGX65550:EGZ65551 EQT65550:EQV65551 FAP65550:FAR65551 FKL65550:FKN65551 FUH65550:FUJ65551 GED65550:GEF65551 GNZ65550:GOB65551 GXV65550:GXX65551 HHR65550:HHT65551 HRN65550:HRP65551 IBJ65550:IBL65551 ILF65550:ILH65551 IVB65550:IVD65551 JEX65550:JEZ65551 JOT65550:JOV65551 JYP65550:JYR65551 KIL65550:KIN65551 KSH65550:KSJ65551 LCD65550:LCF65551 LLZ65550:LMB65551 LVV65550:LVX65551 MFR65550:MFT65551 MPN65550:MPP65551 MZJ65550:MZL65551 NJF65550:NJH65551 NTB65550:NTD65551 OCX65550:OCZ65551 OMT65550:OMV65551 OWP65550:OWR65551 PGL65550:PGN65551 PQH65550:PQJ65551 QAD65550:QAF65551 QJZ65550:QKB65551 QTV65550:QTX65551 RDR65550:RDT65551 RNN65550:RNP65551 RXJ65550:RXL65551 SHF65550:SHH65551 SRB65550:SRD65551 TAX65550:TAZ65551 TKT65550:TKV65551 TUP65550:TUR65551 UEL65550:UEN65551 UOH65550:UOJ65551 UYD65550:UYF65551 VHZ65550:VIB65551 VRV65550:VRX65551 WBR65550:WBT65551 WLN65550:WLP65551 WVJ65550:WVL65551 B131086:D131087 IX131086:IZ131087 ST131086:SV131087 ACP131086:ACR131087 AML131086:AMN131087 AWH131086:AWJ131087 BGD131086:BGF131087 BPZ131086:BQB131087 BZV131086:BZX131087 CJR131086:CJT131087 CTN131086:CTP131087 DDJ131086:DDL131087 DNF131086:DNH131087 DXB131086:DXD131087 EGX131086:EGZ131087 EQT131086:EQV131087 FAP131086:FAR131087 FKL131086:FKN131087 FUH131086:FUJ131087 GED131086:GEF131087 GNZ131086:GOB131087 GXV131086:GXX131087 HHR131086:HHT131087 HRN131086:HRP131087 IBJ131086:IBL131087 ILF131086:ILH131087 IVB131086:IVD131087 JEX131086:JEZ131087 JOT131086:JOV131087 JYP131086:JYR131087 KIL131086:KIN131087 KSH131086:KSJ131087 LCD131086:LCF131087 LLZ131086:LMB131087 LVV131086:LVX131087 MFR131086:MFT131087 MPN131086:MPP131087 MZJ131086:MZL131087 NJF131086:NJH131087 NTB131086:NTD131087 OCX131086:OCZ131087 OMT131086:OMV131087 OWP131086:OWR131087 PGL131086:PGN131087 PQH131086:PQJ131087 QAD131086:QAF131087 QJZ131086:QKB131087 QTV131086:QTX131087 RDR131086:RDT131087 RNN131086:RNP131087 RXJ131086:RXL131087 SHF131086:SHH131087 SRB131086:SRD131087 TAX131086:TAZ131087 TKT131086:TKV131087 TUP131086:TUR131087 UEL131086:UEN131087 UOH131086:UOJ131087 UYD131086:UYF131087 VHZ131086:VIB131087 VRV131086:VRX131087 WBR131086:WBT131087 WLN131086:WLP131087 WVJ131086:WVL131087 B196622:D196623 IX196622:IZ196623 ST196622:SV196623 ACP196622:ACR196623 AML196622:AMN196623 AWH196622:AWJ196623 BGD196622:BGF196623 BPZ196622:BQB196623 BZV196622:BZX196623 CJR196622:CJT196623 CTN196622:CTP196623 DDJ196622:DDL196623 DNF196622:DNH196623 DXB196622:DXD196623 EGX196622:EGZ196623 EQT196622:EQV196623 FAP196622:FAR196623 FKL196622:FKN196623 FUH196622:FUJ196623 GED196622:GEF196623 GNZ196622:GOB196623 GXV196622:GXX196623 HHR196622:HHT196623 HRN196622:HRP196623 IBJ196622:IBL196623 ILF196622:ILH196623 IVB196622:IVD196623 JEX196622:JEZ196623 JOT196622:JOV196623 JYP196622:JYR196623 KIL196622:KIN196623 KSH196622:KSJ196623 LCD196622:LCF196623 LLZ196622:LMB196623 LVV196622:LVX196623 MFR196622:MFT196623 MPN196622:MPP196623 MZJ196622:MZL196623 NJF196622:NJH196623 NTB196622:NTD196623 OCX196622:OCZ196623 OMT196622:OMV196623 OWP196622:OWR196623 PGL196622:PGN196623 PQH196622:PQJ196623 QAD196622:QAF196623 QJZ196622:QKB196623 QTV196622:QTX196623 RDR196622:RDT196623 RNN196622:RNP196623 RXJ196622:RXL196623 SHF196622:SHH196623 SRB196622:SRD196623 TAX196622:TAZ196623 TKT196622:TKV196623 TUP196622:TUR196623 UEL196622:UEN196623 UOH196622:UOJ196623 UYD196622:UYF196623 VHZ196622:VIB196623 VRV196622:VRX196623 WBR196622:WBT196623 WLN196622:WLP196623 WVJ196622:WVL196623 B262158:D262159 IX262158:IZ262159 ST262158:SV262159 ACP262158:ACR262159 AML262158:AMN262159 AWH262158:AWJ262159 BGD262158:BGF262159 BPZ262158:BQB262159 BZV262158:BZX262159 CJR262158:CJT262159 CTN262158:CTP262159 DDJ262158:DDL262159 DNF262158:DNH262159 DXB262158:DXD262159 EGX262158:EGZ262159 EQT262158:EQV262159 FAP262158:FAR262159 FKL262158:FKN262159 FUH262158:FUJ262159 GED262158:GEF262159 GNZ262158:GOB262159 GXV262158:GXX262159 HHR262158:HHT262159 HRN262158:HRP262159 IBJ262158:IBL262159 ILF262158:ILH262159 IVB262158:IVD262159 JEX262158:JEZ262159 JOT262158:JOV262159 JYP262158:JYR262159 KIL262158:KIN262159 KSH262158:KSJ262159 LCD262158:LCF262159 LLZ262158:LMB262159 LVV262158:LVX262159 MFR262158:MFT262159 MPN262158:MPP262159 MZJ262158:MZL262159 NJF262158:NJH262159 NTB262158:NTD262159 OCX262158:OCZ262159 OMT262158:OMV262159 OWP262158:OWR262159 PGL262158:PGN262159 PQH262158:PQJ262159 QAD262158:QAF262159 QJZ262158:QKB262159 QTV262158:QTX262159 RDR262158:RDT262159 RNN262158:RNP262159 RXJ262158:RXL262159 SHF262158:SHH262159 SRB262158:SRD262159 TAX262158:TAZ262159 TKT262158:TKV262159 TUP262158:TUR262159 UEL262158:UEN262159 UOH262158:UOJ262159 UYD262158:UYF262159 VHZ262158:VIB262159 VRV262158:VRX262159 WBR262158:WBT262159 WLN262158:WLP262159 WVJ262158:WVL262159 B327694:D327695 IX327694:IZ327695 ST327694:SV327695 ACP327694:ACR327695 AML327694:AMN327695 AWH327694:AWJ327695 BGD327694:BGF327695 BPZ327694:BQB327695 BZV327694:BZX327695 CJR327694:CJT327695 CTN327694:CTP327695 DDJ327694:DDL327695 DNF327694:DNH327695 DXB327694:DXD327695 EGX327694:EGZ327695 EQT327694:EQV327695 FAP327694:FAR327695 FKL327694:FKN327695 FUH327694:FUJ327695 GED327694:GEF327695 GNZ327694:GOB327695 GXV327694:GXX327695 HHR327694:HHT327695 HRN327694:HRP327695 IBJ327694:IBL327695 ILF327694:ILH327695 IVB327694:IVD327695 JEX327694:JEZ327695 JOT327694:JOV327695 JYP327694:JYR327695 KIL327694:KIN327695 KSH327694:KSJ327695 LCD327694:LCF327695 LLZ327694:LMB327695 LVV327694:LVX327695 MFR327694:MFT327695 MPN327694:MPP327695 MZJ327694:MZL327695 NJF327694:NJH327695 NTB327694:NTD327695 OCX327694:OCZ327695 OMT327694:OMV327695 OWP327694:OWR327695 PGL327694:PGN327695 PQH327694:PQJ327695 QAD327694:QAF327695 QJZ327694:QKB327695 QTV327694:QTX327695 RDR327694:RDT327695 RNN327694:RNP327695 RXJ327694:RXL327695 SHF327694:SHH327695 SRB327694:SRD327695 TAX327694:TAZ327695 TKT327694:TKV327695 TUP327694:TUR327695 UEL327694:UEN327695 UOH327694:UOJ327695 UYD327694:UYF327695 VHZ327694:VIB327695 VRV327694:VRX327695 WBR327694:WBT327695 WLN327694:WLP327695 WVJ327694:WVL327695 B393230:D393231 IX393230:IZ393231 ST393230:SV393231 ACP393230:ACR393231 AML393230:AMN393231 AWH393230:AWJ393231 BGD393230:BGF393231 BPZ393230:BQB393231 BZV393230:BZX393231 CJR393230:CJT393231 CTN393230:CTP393231 DDJ393230:DDL393231 DNF393230:DNH393231 DXB393230:DXD393231 EGX393230:EGZ393231 EQT393230:EQV393231 FAP393230:FAR393231 FKL393230:FKN393231 FUH393230:FUJ393231 GED393230:GEF393231 GNZ393230:GOB393231 GXV393230:GXX393231 HHR393230:HHT393231 HRN393230:HRP393231 IBJ393230:IBL393231 ILF393230:ILH393231 IVB393230:IVD393231 JEX393230:JEZ393231 JOT393230:JOV393231 JYP393230:JYR393231 KIL393230:KIN393231 KSH393230:KSJ393231 LCD393230:LCF393231 LLZ393230:LMB393231 LVV393230:LVX393231 MFR393230:MFT393231 MPN393230:MPP393231 MZJ393230:MZL393231 NJF393230:NJH393231 NTB393230:NTD393231 OCX393230:OCZ393231 OMT393230:OMV393231 OWP393230:OWR393231 PGL393230:PGN393231 PQH393230:PQJ393231 QAD393230:QAF393231 QJZ393230:QKB393231 QTV393230:QTX393231 RDR393230:RDT393231 RNN393230:RNP393231 RXJ393230:RXL393231 SHF393230:SHH393231 SRB393230:SRD393231 TAX393230:TAZ393231 TKT393230:TKV393231 TUP393230:TUR393231 UEL393230:UEN393231 UOH393230:UOJ393231 UYD393230:UYF393231 VHZ393230:VIB393231 VRV393230:VRX393231 WBR393230:WBT393231 WLN393230:WLP393231 WVJ393230:WVL393231 B458766:D458767 IX458766:IZ458767 ST458766:SV458767 ACP458766:ACR458767 AML458766:AMN458767 AWH458766:AWJ458767 BGD458766:BGF458767 BPZ458766:BQB458767 BZV458766:BZX458767 CJR458766:CJT458767 CTN458766:CTP458767 DDJ458766:DDL458767 DNF458766:DNH458767 DXB458766:DXD458767 EGX458766:EGZ458767 EQT458766:EQV458767 FAP458766:FAR458767 FKL458766:FKN458767 FUH458766:FUJ458767 GED458766:GEF458767 GNZ458766:GOB458767 GXV458766:GXX458767 HHR458766:HHT458767 HRN458766:HRP458767 IBJ458766:IBL458767 ILF458766:ILH458767 IVB458766:IVD458767 JEX458766:JEZ458767 JOT458766:JOV458767 JYP458766:JYR458767 KIL458766:KIN458767 KSH458766:KSJ458767 LCD458766:LCF458767 LLZ458766:LMB458767 LVV458766:LVX458767 MFR458766:MFT458767 MPN458766:MPP458767 MZJ458766:MZL458767 NJF458766:NJH458767 NTB458766:NTD458767 OCX458766:OCZ458767 OMT458766:OMV458767 OWP458766:OWR458767 PGL458766:PGN458767 PQH458766:PQJ458767 QAD458766:QAF458767 QJZ458766:QKB458767 QTV458766:QTX458767 RDR458766:RDT458767 RNN458766:RNP458767 RXJ458766:RXL458767 SHF458766:SHH458767 SRB458766:SRD458767 TAX458766:TAZ458767 TKT458766:TKV458767 TUP458766:TUR458767 UEL458766:UEN458767 UOH458766:UOJ458767 UYD458766:UYF458767 VHZ458766:VIB458767 VRV458766:VRX458767 WBR458766:WBT458767 WLN458766:WLP458767 WVJ458766:WVL458767 B524302:D524303 IX524302:IZ524303 ST524302:SV524303 ACP524302:ACR524303 AML524302:AMN524303 AWH524302:AWJ524303 BGD524302:BGF524303 BPZ524302:BQB524303 BZV524302:BZX524303 CJR524302:CJT524303 CTN524302:CTP524303 DDJ524302:DDL524303 DNF524302:DNH524303 DXB524302:DXD524303 EGX524302:EGZ524303 EQT524302:EQV524303 FAP524302:FAR524303 FKL524302:FKN524303 FUH524302:FUJ524303 GED524302:GEF524303 GNZ524302:GOB524303 GXV524302:GXX524303 HHR524302:HHT524303 HRN524302:HRP524303 IBJ524302:IBL524303 ILF524302:ILH524303 IVB524302:IVD524303 JEX524302:JEZ524303 JOT524302:JOV524303 JYP524302:JYR524303 KIL524302:KIN524303 KSH524302:KSJ524303 LCD524302:LCF524303 LLZ524302:LMB524303 LVV524302:LVX524303 MFR524302:MFT524303 MPN524302:MPP524303 MZJ524302:MZL524303 NJF524302:NJH524303 NTB524302:NTD524303 OCX524302:OCZ524303 OMT524302:OMV524303 OWP524302:OWR524303 PGL524302:PGN524303 PQH524302:PQJ524303 QAD524302:QAF524303 QJZ524302:QKB524303 QTV524302:QTX524303 RDR524302:RDT524303 RNN524302:RNP524303 RXJ524302:RXL524303 SHF524302:SHH524303 SRB524302:SRD524303 TAX524302:TAZ524303 TKT524302:TKV524303 TUP524302:TUR524303 UEL524302:UEN524303 UOH524302:UOJ524303 UYD524302:UYF524303 VHZ524302:VIB524303 VRV524302:VRX524303 WBR524302:WBT524303 WLN524302:WLP524303 WVJ524302:WVL524303 B589838:D589839 IX589838:IZ589839 ST589838:SV589839 ACP589838:ACR589839 AML589838:AMN589839 AWH589838:AWJ589839 BGD589838:BGF589839 BPZ589838:BQB589839 BZV589838:BZX589839 CJR589838:CJT589839 CTN589838:CTP589839 DDJ589838:DDL589839 DNF589838:DNH589839 DXB589838:DXD589839 EGX589838:EGZ589839 EQT589838:EQV589839 FAP589838:FAR589839 FKL589838:FKN589839 FUH589838:FUJ589839 GED589838:GEF589839 GNZ589838:GOB589839 GXV589838:GXX589839 HHR589838:HHT589839 HRN589838:HRP589839 IBJ589838:IBL589839 ILF589838:ILH589839 IVB589838:IVD589839 JEX589838:JEZ589839 JOT589838:JOV589839 JYP589838:JYR589839 KIL589838:KIN589839 KSH589838:KSJ589839 LCD589838:LCF589839 LLZ589838:LMB589839 LVV589838:LVX589839 MFR589838:MFT589839 MPN589838:MPP589839 MZJ589838:MZL589839 NJF589838:NJH589839 NTB589838:NTD589839 OCX589838:OCZ589839 OMT589838:OMV589839 OWP589838:OWR589839 PGL589838:PGN589839 PQH589838:PQJ589839 QAD589838:QAF589839 QJZ589838:QKB589839 QTV589838:QTX589839 RDR589838:RDT589839 RNN589838:RNP589839 RXJ589838:RXL589839 SHF589838:SHH589839 SRB589838:SRD589839 TAX589838:TAZ589839 TKT589838:TKV589839 TUP589838:TUR589839 UEL589838:UEN589839 UOH589838:UOJ589839 UYD589838:UYF589839 VHZ589838:VIB589839 VRV589838:VRX589839 WBR589838:WBT589839 WLN589838:WLP589839 WVJ589838:WVL589839 B655374:D655375 IX655374:IZ655375 ST655374:SV655375 ACP655374:ACR655375 AML655374:AMN655375 AWH655374:AWJ655375 BGD655374:BGF655375 BPZ655374:BQB655375 BZV655374:BZX655375 CJR655374:CJT655375 CTN655374:CTP655375 DDJ655374:DDL655375 DNF655374:DNH655375 DXB655374:DXD655375 EGX655374:EGZ655375 EQT655374:EQV655375 FAP655374:FAR655375 FKL655374:FKN655375 FUH655374:FUJ655375 GED655374:GEF655375 GNZ655374:GOB655375 GXV655374:GXX655375 HHR655374:HHT655375 HRN655374:HRP655375 IBJ655374:IBL655375 ILF655374:ILH655375 IVB655374:IVD655375 JEX655374:JEZ655375 JOT655374:JOV655375 JYP655374:JYR655375 KIL655374:KIN655375 KSH655374:KSJ655375 LCD655374:LCF655375 LLZ655374:LMB655375 LVV655374:LVX655375 MFR655374:MFT655375 MPN655374:MPP655375 MZJ655374:MZL655375 NJF655374:NJH655375 NTB655374:NTD655375 OCX655374:OCZ655375 OMT655374:OMV655375 OWP655374:OWR655375 PGL655374:PGN655375 PQH655374:PQJ655375 QAD655374:QAF655375 QJZ655374:QKB655375 QTV655374:QTX655375 RDR655374:RDT655375 RNN655374:RNP655375 RXJ655374:RXL655375 SHF655374:SHH655375 SRB655374:SRD655375 TAX655374:TAZ655375 TKT655374:TKV655375 TUP655374:TUR655375 UEL655374:UEN655375 UOH655374:UOJ655375 UYD655374:UYF655375 VHZ655374:VIB655375 VRV655374:VRX655375 WBR655374:WBT655375 WLN655374:WLP655375 WVJ655374:WVL655375 B720910:D720911 IX720910:IZ720911 ST720910:SV720911 ACP720910:ACR720911 AML720910:AMN720911 AWH720910:AWJ720911 BGD720910:BGF720911 BPZ720910:BQB720911 BZV720910:BZX720911 CJR720910:CJT720911 CTN720910:CTP720911 DDJ720910:DDL720911 DNF720910:DNH720911 DXB720910:DXD720911 EGX720910:EGZ720911 EQT720910:EQV720911 FAP720910:FAR720911 FKL720910:FKN720911 FUH720910:FUJ720911 GED720910:GEF720911 GNZ720910:GOB720911 GXV720910:GXX720911 HHR720910:HHT720911 HRN720910:HRP720911 IBJ720910:IBL720911 ILF720910:ILH720911 IVB720910:IVD720911 JEX720910:JEZ720911 JOT720910:JOV720911 JYP720910:JYR720911 KIL720910:KIN720911 KSH720910:KSJ720911 LCD720910:LCF720911 LLZ720910:LMB720911 LVV720910:LVX720911 MFR720910:MFT720911 MPN720910:MPP720911 MZJ720910:MZL720911 NJF720910:NJH720911 NTB720910:NTD720911 OCX720910:OCZ720911 OMT720910:OMV720911 OWP720910:OWR720911 PGL720910:PGN720911 PQH720910:PQJ720911 QAD720910:QAF720911 QJZ720910:QKB720911 QTV720910:QTX720911 RDR720910:RDT720911 RNN720910:RNP720911 RXJ720910:RXL720911 SHF720910:SHH720911 SRB720910:SRD720911 TAX720910:TAZ720911 TKT720910:TKV720911 TUP720910:TUR720911 UEL720910:UEN720911 UOH720910:UOJ720911 UYD720910:UYF720911 VHZ720910:VIB720911 VRV720910:VRX720911 WBR720910:WBT720911 WLN720910:WLP720911 WVJ720910:WVL720911 B786446:D786447 IX786446:IZ786447 ST786446:SV786447 ACP786446:ACR786447 AML786446:AMN786447 AWH786446:AWJ786447 BGD786446:BGF786447 BPZ786446:BQB786447 BZV786446:BZX786447 CJR786446:CJT786447 CTN786446:CTP786447 DDJ786446:DDL786447 DNF786446:DNH786447 DXB786446:DXD786447 EGX786446:EGZ786447 EQT786446:EQV786447 FAP786446:FAR786447 FKL786446:FKN786447 FUH786446:FUJ786447 GED786446:GEF786447 GNZ786446:GOB786447 GXV786446:GXX786447 HHR786446:HHT786447 HRN786446:HRP786447 IBJ786446:IBL786447 ILF786446:ILH786447 IVB786446:IVD786447 JEX786446:JEZ786447 JOT786446:JOV786447 JYP786446:JYR786447 KIL786446:KIN786447 KSH786446:KSJ786447 LCD786446:LCF786447 LLZ786446:LMB786447 LVV786446:LVX786447 MFR786446:MFT786447 MPN786446:MPP786447 MZJ786446:MZL786447 NJF786446:NJH786447 NTB786446:NTD786447 OCX786446:OCZ786447 OMT786446:OMV786447 OWP786446:OWR786447 PGL786446:PGN786447 PQH786446:PQJ786447 QAD786446:QAF786447 QJZ786446:QKB786447 QTV786446:QTX786447 RDR786446:RDT786447 RNN786446:RNP786447 RXJ786446:RXL786447 SHF786446:SHH786447 SRB786446:SRD786447 TAX786446:TAZ786447 TKT786446:TKV786447 TUP786446:TUR786447 UEL786446:UEN786447 UOH786446:UOJ786447 UYD786446:UYF786447 VHZ786446:VIB786447 VRV786446:VRX786447 WBR786446:WBT786447 WLN786446:WLP786447 WVJ786446:WVL786447 B851982:D851983 IX851982:IZ851983 ST851982:SV851983 ACP851982:ACR851983 AML851982:AMN851983 AWH851982:AWJ851983 BGD851982:BGF851983 BPZ851982:BQB851983 BZV851982:BZX851983 CJR851982:CJT851983 CTN851982:CTP851983 DDJ851982:DDL851983 DNF851982:DNH851983 DXB851982:DXD851983 EGX851982:EGZ851983 EQT851982:EQV851983 FAP851982:FAR851983 FKL851982:FKN851983 FUH851982:FUJ851983 GED851982:GEF851983 GNZ851982:GOB851983 GXV851982:GXX851983 HHR851982:HHT851983 HRN851982:HRP851983 IBJ851982:IBL851983 ILF851982:ILH851983 IVB851982:IVD851983 JEX851982:JEZ851983 JOT851982:JOV851983 JYP851982:JYR851983 KIL851982:KIN851983 KSH851982:KSJ851983 LCD851982:LCF851983 LLZ851982:LMB851983 LVV851982:LVX851983 MFR851982:MFT851983 MPN851982:MPP851983 MZJ851982:MZL851983 NJF851982:NJH851983 NTB851982:NTD851983 OCX851982:OCZ851983 OMT851982:OMV851983 OWP851982:OWR851983 PGL851982:PGN851983 PQH851982:PQJ851983 QAD851982:QAF851983 QJZ851982:QKB851983 QTV851982:QTX851983 RDR851982:RDT851983 RNN851982:RNP851983 RXJ851982:RXL851983 SHF851982:SHH851983 SRB851982:SRD851983 TAX851982:TAZ851983 TKT851982:TKV851983 TUP851982:TUR851983 UEL851982:UEN851983 UOH851982:UOJ851983 UYD851982:UYF851983 VHZ851982:VIB851983 VRV851982:VRX851983 WBR851982:WBT851983 WLN851982:WLP851983 WVJ851982:WVL851983 B917518:D917519 IX917518:IZ917519 ST917518:SV917519 ACP917518:ACR917519 AML917518:AMN917519 AWH917518:AWJ917519 BGD917518:BGF917519 BPZ917518:BQB917519 BZV917518:BZX917519 CJR917518:CJT917519 CTN917518:CTP917519 DDJ917518:DDL917519 DNF917518:DNH917519 DXB917518:DXD917519 EGX917518:EGZ917519 EQT917518:EQV917519 FAP917518:FAR917519 FKL917518:FKN917519 FUH917518:FUJ917519 GED917518:GEF917519 GNZ917518:GOB917519 GXV917518:GXX917519 HHR917518:HHT917519 HRN917518:HRP917519 IBJ917518:IBL917519 ILF917518:ILH917519 IVB917518:IVD917519 JEX917518:JEZ917519 JOT917518:JOV917519 JYP917518:JYR917519 KIL917518:KIN917519 KSH917518:KSJ917519 LCD917518:LCF917519 LLZ917518:LMB917519 LVV917518:LVX917519 MFR917518:MFT917519 MPN917518:MPP917519 MZJ917518:MZL917519 NJF917518:NJH917519 NTB917518:NTD917519 OCX917518:OCZ917519 OMT917518:OMV917519 OWP917518:OWR917519 PGL917518:PGN917519 PQH917518:PQJ917519 QAD917518:QAF917519 QJZ917518:QKB917519 QTV917518:QTX917519 RDR917518:RDT917519 RNN917518:RNP917519 RXJ917518:RXL917519 SHF917518:SHH917519 SRB917518:SRD917519 TAX917518:TAZ917519 TKT917518:TKV917519 TUP917518:TUR917519 UEL917518:UEN917519 UOH917518:UOJ917519 UYD917518:UYF917519 VHZ917518:VIB917519 VRV917518:VRX917519 WBR917518:WBT917519 WLN917518:WLP917519 WVJ917518:WVL917519 B983054:D983055 IX983054:IZ983055 ST983054:SV983055 ACP983054:ACR983055 AML983054:AMN983055 AWH983054:AWJ983055 BGD983054:BGF983055 BPZ983054:BQB983055 BZV983054:BZX983055 CJR983054:CJT983055 CTN983054:CTP983055 DDJ983054:DDL983055 DNF983054:DNH983055 DXB983054:DXD983055 EGX983054:EGZ983055 EQT983054:EQV983055 FAP983054:FAR983055 FKL983054:FKN983055 FUH983054:FUJ983055 GED983054:GEF983055 GNZ983054:GOB983055 GXV983054:GXX983055 HHR983054:HHT983055 HRN983054:HRP983055 IBJ983054:IBL983055 ILF983054:ILH983055 IVB983054:IVD983055 JEX983054:JEZ983055 JOT983054:JOV983055 JYP983054:JYR983055 KIL983054:KIN983055 KSH983054:KSJ983055 LCD983054:LCF983055 LLZ983054:LMB983055 LVV983054:LVX983055 MFR983054:MFT983055 MPN983054:MPP983055 MZJ983054:MZL983055 NJF983054:NJH983055 NTB983054:NTD983055 OCX983054:OCZ983055 OMT983054:OMV983055 OWP983054:OWR983055 PGL983054:PGN983055 PQH983054:PQJ983055 QAD983054:QAF983055 QJZ983054:QKB983055 QTV983054:QTX983055 RDR983054:RDT983055 RNN983054:RNP983055 RXJ983054:RXL983055 SHF983054:SHH983055 SRB983054:SRD983055 TAX983054:TAZ983055 TKT983054:TKV983055 TUP983054:TUR983055 UEL983054:UEN983055 UOH983054:UOJ983055 UYD983054:UYF983055 VHZ983054:VIB983055 VRV983054:VRX983055 WBR983054:WBT983055 WLN983054:WLP983055 WVJ983054:WVL983055" xr:uid="{00000000-0002-0000-0A00-000002000000}">
      <formula1>CREACAU</formula1>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xr:uid="{00000000-0002-0000-0A00-000003000000}">
      <formula1>BASEDECALCULO</formula1>
    </dataValidation>
    <dataValidation type="list" allowBlank="1" showInputMessage="1" showErrorMessage="1"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00000000-0002-0000-0A00-000004000000}">
      <formula1>ENCARGOS</formula1>
    </dataValidation>
    <dataValidation type="list" allowBlank="1" showInputMessage="1" showErrorMessage="1" sqref="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xr:uid="{00000000-0002-0000-0A00-000005000000}">
      <formula1>$M$33:$M$38</formula1>
    </dataValidation>
    <dataValidation type="decimal" allowBlank="1" showInputMessage="1" showErrorMessage="1" error="O valor inserido está fora dos limites estabelecidos pelo acórdão 2622/2013 do TCU ou é inválido." sqref="G40:G41 JC40:JC41 SY40:SY41 ACU40:ACU41 AMQ40:AMQ41 AWM40:AWM41 BGI40:BGI41 BQE40:BQE41 CAA40:CAA41 CJW40:CJW41 CTS40:CTS41 DDO40:DDO41 DNK40:DNK41 DXG40:DXG41 EHC40:EHC41 EQY40:EQY41 FAU40:FAU41 FKQ40:FKQ41 FUM40:FUM41 GEI40:GEI41 GOE40:GOE41 GYA40:GYA41 HHW40:HHW41 HRS40:HRS41 IBO40:IBO41 ILK40:ILK41 IVG40:IVG41 JFC40:JFC41 JOY40:JOY41 JYU40:JYU41 KIQ40:KIQ41 KSM40:KSM41 LCI40:LCI41 LME40:LME41 LWA40:LWA41 MFW40:MFW41 MPS40:MPS41 MZO40:MZO41 NJK40:NJK41 NTG40:NTG41 ODC40:ODC41 OMY40:OMY41 OWU40:OWU41 PGQ40:PGQ41 PQM40:PQM41 QAI40:QAI41 QKE40:QKE41 QUA40:QUA41 RDW40:RDW41 RNS40:RNS41 RXO40:RXO41 SHK40:SHK41 SRG40:SRG41 TBC40:TBC41 TKY40:TKY41 TUU40:TUU41 UEQ40:UEQ41 UOM40:UOM41 UYI40:UYI41 VIE40:VIE41 VSA40:VSA41 WBW40:WBW41 WLS40:WLS41 WVO40:WVO41 G65576:G65577 JC65576:JC65577 SY65576:SY65577 ACU65576:ACU65577 AMQ65576:AMQ65577 AWM65576:AWM65577 BGI65576:BGI65577 BQE65576:BQE65577 CAA65576:CAA65577 CJW65576:CJW65577 CTS65576:CTS65577 DDO65576:DDO65577 DNK65576:DNK65577 DXG65576:DXG65577 EHC65576:EHC65577 EQY65576:EQY65577 FAU65576:FAU65577 FKQ65576:FKQ65577 FUM65576:FUM65577 GEI65576:GEI65577 GOE65576:GOE65577 GYA65576:GYA65577 HHW65576:HHW65577 HRS65576:HRS65577 IBO65576:IBO65577 ILK65576:ILK65577 IVG65576:IVG65577 JFC65576:JFC65577 JOY65576:JOY65577 JYU65576:JYU65577 KIQ65576:KIQ65577 KSM65576:KSM65577 LCI65576:LCI65577 LME65576:LME65577 LWA65576:LWA65577 MFW65576:MFW65577 MPS65576:MPS65577 MZO65576:MZO65577 NJK65576:NJK65577 NTG65576:NTG65577 ODC65576:ODC65577 OMY65576:OMY65577 OWU65576:OWU65577 PGQ65576:PGQ65577 PQM65576:PQM65577 QAI65576:QAI65577 QKE65576:QKE65577 QUA65576:QUA65577 RDW65576:RDW65577 RNS65576:RNS65577 RXO65576:RXO65577 SHK65576:SHK65577 SRG65576:SRG65577 TBC65576:TBC65577 TKY65576:TKY65577 TUU65576:TUU65577 UEQ65576:UEQ65577 UOM65576:UOM65577 UYI65576:UYI65577 VIE65576:VIE65577 VSA65576:VSA65577 WBW65576:WBW65577 WLS65576:WLS65577 WVO65576:WVO65577 G131112:G131113 JC131112:JC131113 SY131112:SY131113 ACU131112:ACU131113 AMQ131112:AMQ131113 AWM131112:AWM131113 BGI131112:BGI131113 BQE131112:BQE131113 CAA131112:CAA131113 CJW131112:CJW131113 CTS131112:CTS131113 DDO131112:DDO131113 DNK131112:DNK131113 DXG131112:DXG131113 EHC131112:EHC131113 EQY131112:EQY131113 FAU131112:FAU131113 FKQ131112:FKQ131113 FUM131112:FUM131113 GEI131112:GEI131113 GOE131112:GOE131113 GYA131112:GYA131113 HHW131112:HHW131113 HRS131112:HRS131113 IBO131112:IBO131113 ILK131112:ILK131113 IVG131112:IVG131113 JFC131112:JFC131113 JOY131112:JOY131113 JYU131112:JYU131113 KIQ131112:KIQ131113 KSM131112:KSM131113 LCI131112:LCI131113 LME131112:LME131113 LWA131112:LWA131113 MFW131112:MFW131113 MPS131112:MPS131113 MZO131112:MZO131113 NJK131112:NJK131113 NTG131112:NTG131113 ODC131112:ODC131113 OMY131112:OMY131113 OWU131112:OWU131113 PGQ131112:PGQ131113 PQM131112:PQM131113 QAI131112:QAI131113 QKE131112:QKE131113 QUA131112:QUA131113 RDW131112:RDW131113 RNS131112:RNS131113 RXO131112:RXO131113 SHK131112:SHK131113 SRG131112:SRG131113 TBC131112:TBC131113 TKY131112:TKY131113 TUU131112:TUU131113 UEQ131112:UEQ131113 UOM131112:UOM131113 UYI131112:UYI131113 VIE131112:VIE131113 VSA131112:VSA131113 WBW131112:WBW131113 WLS131112:WLS131113 WVO131112:WVO131113 G196648:G196649 JC196648:JC196649 SY196648:SY196649 ACU196648:ACU196649 AMQ196648:AMQ196649 AWM196648:AWM196649 BGI196648:BGI196649 BQE196648:BQE196649 CAA196648:CAA196649 CJW196648:CJW196649 CTS196648:CTS196649 DDO196648:DDO196649 DNK196648:DNK196649 DXG196648:DXG196649 EHC196648:EHC196649 EQY196648:EQY196649 FAU196648:FAU196649 FKQ196648:FKQ196649 FUM196648:FUM196649 GEI196648:GEI196649 GOE196648:GOE196649 GYA196648:GYA196649 HHW196648:HHW196649 HRS196648:HRS196649 IBO196648:IBO196649 ILK196648:ILK196649 IVG196648:IVG196649 JFC196648:JFC196649 JOY196648:JOY196649 JYU196648:JYU196649 KIQ196648:KIQ196649 KSM196648:KSM196649 LCI196648:LCI196649 LME196648:LME196649 LWA196648:LWA196649 MFW196648:MFW196649 MPS196648:MPS196649 MZO196648:MZO196649 NJK196648:NJK196649 NTG196648:NTG196649 ODC196648:ODC196649 OMY196648:OMY196649 OWU196648:OWU196649 PGQ196648:PGQ196649 PQM196648:PQM196649 QAI196648:QAI196649 QKE196648:QKE196649 QUA196648:QUA196649 RDW196648:RDW196649 RNS196648:RNS196649 RXO196648:RXO196649 SHK196648:SHK196649 SRG196648:SRG196649 TBC196648:TBC196649 TKY196648:TKY196649 TUU196648:TUU196649 UEQ196648:UEQ196649 UOM196648:UOM196649 UYI196648:UYI196649 VIE196648:VIE196649 VSA196648:VSA196649 WBW196648:WBW196649 WLS196648:WLS196649 WVO196648:WVO196649 G262184:G262185 JC262184:JC262185 SY262184:SY262185 ACU262184:ACU262185 AMQ262184:AMQ262185 AWM262184:AWM262185 BGI262184:BGI262185 BQE262184:BQE262185 CAA262184:CAA262185 CJW262184:CJW262185 CTS262184:CTS262185 DDO262184:DDO262185 DNK262184:DNK262185 DXG262184:DXG262185 EHC262184:EHC262185 EQY262184:EQY262185 FAU262184:FAU262185 FKQ262184:FKQ262185 FUM262184:FUM262185 GEI262184:GEI262185 GOE262184:GOE262185 GYA262184:GYA262185 HHW262184:HHW262185 HRS262184:HRS262185 IBO262184:IBO262185 ILK262184:ILK262185 IVG262184:IVG262185 JFC262184:JFC262185 JOY262184:JOY262185 JYU262184:JYU262185 KIQ262184:KIQ262185 KSM262184:KSM262185 LCI262184:LCI262185 LME262184:LME262185 LWA262184:LWA262185 MFW262184:MFW262185 MPS262184:MPS262185 MZO262184:MZO262185 NJK262184:NJK262185 NTG262184:NTG262185 ODC262184:ODC262185 OMY262184:OMY262185 OWU262184:OWU262185 PGQ262184:PGQ262185 PQM262184:PQM262185 QAI262184:QAI262185 QKE262184:QKE262185 QUA262184:QUA262185 RDW262184:RDW262185 RNS262184:RNS262185 RXO262184:RXO262185 SHK262184:SHK262185 SRG262184:SRG262185 TBC262184:TBC262185 TKY262184:TKY262185 TUU262184:TUU262185 UEQ262184:UEQ262185 UOM262184:UOM262185 UYI262184:UYI262185 VIE262184:VIE262185 VSA262184:VSA262185 WBW262184:WBW262185 WLS262184:WLS262185 WVO262184:WVO262185 G327720:G327721 JC327720:JC327721 SY327720:SY327721 ACU327720:ACU327721 AMQ327720:AMQ327721 AWM327720:AWM327721 BGI327720:BGI327721 BQE327720:BQE327721 CAA327720:CAA327721 CJW327720:CJW327721 CTS327720:CTS327721 DDO327720:DDO327721 DNK327720:DNK327721 DXG327720:DXG327721 EHC327720:EHC327721 EQY327720:EQY327721 FAU327720:FAU327721 FKQ327720:FKQ327721 FUM327720:FUM327721 GEI327720:GEI327721 GOE327720:GOE327721 GYA327720:GYA327721 HHW327720:HHW327721 HRS327720:HRS327721 IBO327720:IBO327721 ILK327720:ILK327721 IVG327720:IVG327721 JFC327720:JFC327721 JOY327720:JOY327721 JYU327720:JYU327721 KIQ327720:KIQ327721 KSM327720:KSM327721 LCI327720:LCI327721 LME327720:LME327721 LWA327720:LWA327721 MFW327720:MFW327721 MPS327720:MPS327721 MZO327720:MZO327721 NJK327720:NJK327721 NTG327720:NTG327721 ODC327720:ODC327721 OMY327720:OMY327721 OWU327720:OWU327721 PGQ327720:PGQ327721 PQM327720:PQM327721 QAI327720:QAI327721 QKE327720:QKE327721 QUA327720:QUA327721 RDW327720:RDW327721 RNS327720:RNS327721 RXO327720:RXO327721 SHK327720:SHK327721 SRG327720:SRG327721 TBC327720:TBC327721 TKY327720:TKY327721 TUU327720:TUU327721 UEQ327720:UEQ327721 UOM327720:UOM327721 UYI327720:UYI327721 VIE327720:VIE327721 VSA327720:VSA327721 WBW327720:WBW327721 WLS327720:WLS327721 WVO327720:WVO327721 G393256:G393257 JC393256:JC393257 SY393256:SY393257 ACU393256:ACU393257 AMQ393256:AMQ393257 AWM393256:AWM393257 BGI393256:BGI393257 BQE393256:BQE393257 CAA393256:CAA393257 CJW393256:CJW393257 CTS393256:CTS393257 DDO393256:DDO393257 DNK393256:DNK393257 DXG393256:DXG393257 EHC393256:EHC393257 EQY393256:EQY393257 FAU393256:FAU393257 FKQ393256:FKQ393257 FUM393256:FUM393257 GEI393256:GEI393257 GOE393256:GOE393257 GYA393256:GYA393257 HHW393256:HHW393257 HRS393256:HRS393257 IBO393256:IBO393257 ILK393256:ILK393257 IVG393256:IVG393257 JFC393256:JFC393257 JOY393256:JOY393257 JYU393256:JYU393257 KIQ393256:KIQ393257 KSM393256:KSM393257 LCI393256:LCI393257 LME393256:LME393257 LWA393256:LWA393257 MFW393256:MFW393257 MPS393256:MPS393257 MZO393256:MZO393257 NJK393256:NJK393257 NTG393256:NTG393257 ODC393256:ODC393257 OMY393256:OMY393257 OWU393256:OWU393257 PGQ393256:PGQ393257 PQM393256:PQM393257 QAI393256:QAI393257 QKE393256:QKE393257 QUA393256:QUA393257 RDW393256:RDW393257 RNS393256:RNS393257 RXO393256:RXO393257 SHK393256:SHK393257 SRG393256:SRG393257 TBC393256:TBC393257 TKY393256:TKY393257 TUU393256:TUU393257 UEQ393256:UEQ393257 UOM393256:UOM393257 UYI393256:UYI393257 VIE393256:VIE393257 VSA393256:VSA393257 WBW393256:WBW393257 WLS393256:WLS393257 WVO393256:WVO393257 G458792:G458793 JC458792:JC458793 SY458792:SY458793 ACU458792:ACU458793 AMQ458792:AMQ458793 AWM458792:AWM458793 BGI458792:BGI458793 BQE458792:BQE458793 CAA458792:CAA458793 CJW458792:CJW458793 CTS458792:CTS458793 DDO458792:DDO458793 DNK458792:DNK458793 DXG458792:DXG458793 EHC458792:EHC458793 EQY458792:EQY458793 FAU458792:FAU458793 FKQ458792:FKQ458793 FUM458792:FUM458793 GEI458792:GEI458793 GOE458792:GOE458793 GYA458792:GYA458793 HHW458792:HHW458793 HRS458792:HRS458793 IBO458792:IBO458793 ILK458792:ILK458793 IVG458792:IVG458793 JFC458792:JFC458793 JOY458792:JOY458793 JYU458792:JYU458793 KIQ458792:KIQ458793 KSM458792:KSM458793 LCI458792:LCI458793 LME458792:LME458793 LWA458792:LWA458793 MFW458792:MFW458793 MPS458792:MPS458793 MZO458792:MZO458793 NJK458792:NJK458793 NTG458792:NTG458793 ODC458792:ODC458793 OMY458792:OMY458793 OWU458792:OWU458793 PGQ458792:PGQ458793 PQM458792:PQM458793 QAI458792:QAI458793 QKE458792:QKE458793 QUA458792:QUA458793 RDW458792:RDW458793 RNS458792:RNS458793 RXO458792:RXO458793 SHK458792:SHK458793 SRG458792:SRG458793 TBC458792:TBC458793 TKY458792:TKY458793 TUU458792:TUU458793 UEQ458792:UEQ458793 UOM458792:UOM458793 UYI458792:UYI458793 VIE458792:VIE458793 VSA458792:VSA458793 WBW458792:WBW458793 WLS458792:WLS458793 WVO458792:WVO458793 G524328:G524329 JC524328:JC524329 SY524328:SY524329 ACU524328:ACU524329 AMQ524328:AMQ524329 AWM524328:AWM524329 BGI524328:BGI524329 BQE524328:BQE524329 CAA524328:CAA524329 CJW524328:CJW524329 CTS524328:CTS524329 DDO524328:DDO524329 DNK524328:DNK524329 DXG524328:DXG524329 EHC524328:EHC524329 EQY524328:EQY524329 FAU524328:FAU524329 FKQ524328:FKQ524329 FUM524328:FUM524329 GEI524328:GEI524329 GOE524328:GOE524329 GYA524328:GYA524329 HHW524328:HHW524329 HRS524328:HRS524329 IBO524328:IBO524329 ILK524328:ILK524329 IVG524328:IVG524329 JFC524328:JFC524329 JOY524328:JOY524329 JYU524328:JYU524329 KIQ524328:KIQ524329 KSM524328:KSM524329 LCI524328:LCI524329 LME524328:LME524329 LWA524328:LWA524329 MFW524328:MFW524329 MPS524328:MPS524329 MZO524328:MZO524329 NJK524328:NJK524329 NTG524328:NTG524329 ODC524328:ODC524329 OMY524328:OMY524329 OWU524328:OWU524329 PGQ524328:PGQ524329 PQM524328:PQM524329 QAI524328:QAI524329 QKE524328:QKE524329 QUA524328:QUA524329 RDW524328:RDW524329 RNS524328:RNS524329 RXO524328:RXO524329 SHK524328:SHK524329 SRG524328:SRG524329 TBC524328:TBC524329 TKY524328:TKY524329 TUU524328:TUU524329 UEQ524328:UEQ524329 UOM524328:UOM524329 UYI524328:UYI524329 VIE524328:VIE524329 VSA524328:VSA524329 WBW524328:WBW524329 WLS524328:WLS524329 WVO524328:WVO524329 G589864:G589865 JC589864:JC589865 SY589864:SY589865 ACU589864:ACU589865 AMQ589864:AMQ589865 AWM589864:AWM589865 BGI589864:BGI589865 BQE589864:BQE589865 CAA589864:CAA589865 CJW589864:CJW589865 CTS589864:CTS589865 DDO589864:DDO589865 DNK589864:DNK589865 DXG589864:DXG589865 EHC589864:EHC589865 EQY589864:EQY589865 FAU589864:FAU589865 FKQ589864:FKQ589865 FUM589864:FUM589865 GEI589864:GEI589865 GOE589864:GOE589865 GYA589864:GYA589865 HHW589864:HHW589865 HRS589864:HRS589865 IBO589864:IBO589865 ILK589864:ILK589865 IVG589864:IVG589865 JFC589864:JFC589865 JOY589864:JOY589865 JYU589864:JYU589865 KIQ589864:KIQ589865 KSM589864:KSM589865 LCI589864:LCI589865 LME589864:LME589865 LWA589864:LWA589865 MFW589864:MFW589865 MPS589864:MPS589865 MZO589864:MZO589865 NJK589864:NJK589865 NTG589864:NTG589865 ODC589864:ODC589865 OMY589864:OMY589865 OWU589864:OWU589865 PGQ589864:PGQ589865 PQM589864:PQM589865 QAI589864:QAI589865 QKE589864:QKE589865 QUA589864:QUA589865 RDW589864:RDW589865 RNS589864:RNS589865 RXO589864:RXO589865 SHK589864:SHK589865 SRG589864:SRG589865 TBC589864:TBC589865 TKY589864:TKY589865 TUU589864:TUU589865 UEQ589864:UEQ589865 UOM589864:UOM589865 UYI589864:UYI589865 VIE589864:VIE589865 VSA589864:VSA589865 WBW589864:WBW589865 WLS589864:WLS589865 WVO589864:WVO589865 G655400:G655401 JC655400:JC655401 SY655400:SY655401 ACU655400:ACU655401 AMQ655400:AMQ655401 AWM655400:AWM655401 BGI655400:BGI655401 BQE655400:BQE655401 CAA655400:CAA655401 CJW655400:CJW655401 CTS655400:CTS655401 DDO655400:DDO655401 DNK655400:DNK655401 DXG655400:DXG655401 EHC655400:EHC655401 EQY655400:EQY655401 FAU655400:FAU655401 FKQ655400:FKQ655401 FUM655400:FUM655401 GEI655400:GEI655401 GOE655400:GOE655401 GYA655400:GYA655401 HHW655400:HHW655401 HRS655400:HRS655401 IBO655400:IBO655401 ILK655400:ILK655401 IVG655400:IVG655401 JFC655400:JFC655401 JOY655400:JOY655401 JYU655400:JYU655401 KIQ655400:KIQ655401 KSM655400:KSM655401 LCI655400:LCI655401 LME655400:LME655401 LWA655400:LWA655401 MFW655400:MFW655401 MPS655400:MPS655401 MZO655400:MZO655401 NJK655400:NJK655401 NTG655400:NTG655401 ODC655400:ODC655401 OMY655400:OMY655401 OWU655400:OWU655401 PGQ655400:PGQ655401 PQM655400:PQM655401 QAI655400:QAI655401 QKE655400:QKE655401 QUA655400:QUA655401 RDW655400:RDW655401 RNS655400:RNS655401 RXO655400:RXO655401 SHK655400:SHK655401 SRG655400:SRG655401 TBC655400:TBC655401 TKY655400:TKY655401 TUU655400:TUU655401 UEQ655400:UEQ655401 UOM655400:UOM655401 UYI655400:UYI655401 VIE655400:VIE655401 VSA655400:VSA655401 WBW655400:WBW655401 WLS655400:WLS655401 WVO655400:WVO655401 G720936:G720937 JC720936:JC720937 SY720936:SY720937 ACU720936:ACU720937 AMQ720936:AMQ720937 AWM720936:AWM720937 BGI720936:BGI720937 BQE720936:BQE720937 CAA720936:CAA720937 CJW720936:CJW720937 CTS720936:CTS720937 DDO720936:DDO720937 DNK720936:DNK720937 DXG720936:DXG720937 EHC720936:EHC720937 EQY720936:EQY720937 FAU720936:FAU720937 FKQ720936:FKQ720937 FUM720936:FUM720937 GEI720936:GEI720937 GOE720936:GOE720937 GYA720936:GYA720937 HHW720936:HHW720937 HRS720936:HRS720937 IBO720936:IBO720937 ILK720936:ILK720937 IVG720936:IVG720937 JFC720936:JFC720937 JOY720936:JOY720937 JYU720936:JYU720937 KIQ720936:KIQ720937 KSM720936:KSM720937 LCI720936:LCI720937 LME720936:LME720937 LWA720936:LWA720937 MFW720936:MFW720937 MPS720936:MPS720937 MZO720936:MZO720937 NJK720936:NJK720937 NTG720936:NTG720937 ODC720936:ODC720937 OMY720936:OMY720937 OWU720936:OWU720937 PGQ720936:PGQ720937 PQM720936:PQM720937 QAI720936:QAI720937 QKE720936:QKE720937 QUA720936:QUA720937 RDW720936:RDW720937 RNS720936:RNS720937 RXO720936:RXO720937 SHK720936:SHK720937 SRG720936:SRG720937 TBC720936:TBC720937 TKY720936:TKY720937 TUU720936:TUU720937 UEQ720936:UEQ720937 UOM720936:UOM720937 UYI720936:UYI720937 VIE720936:VIE720937 VSA720936:VSA720937 WBW720936:WBW720937 WLS720936:WLS720937 WVO720936:WVO720937 G786472:G786473 JC786472:JC786473 SY786472:SY786473 ACU786472:ACU786473 AMQ786472:AMQ786473 AWM786472:AWM786473 BGI786472:BGI786473 BQE786472:BQE786473 CAA786472:CAA786473 CJW786472:CJW786473 CTS786472:CTS786473 DDO786472:DDO786473 DNK786472:DNK786473 DXG786472:DXG786473 EHC786472:EHC786473 EQY786472:EQY786473 FAU786472:FAU786473 FKQ786472:FKQ786473 FUM786472:FUM786473 GEI786472:GEI786473 GOE786472:GOE786473 GYA786472:GYA786473 HHW786472:HHW786473 HRS786472:HRS786473 IBO786472:IBO786473 ILK786472:ILK786473 IVG786472:IVG786473 JFC786472:JFC786473 JOY786472:JOY786473 JYU786472:JYU786473 KIQ786472:KIQ786473 KSM786472:KSM786473 LCI786472:LCI786473 LME786472:LME786473 LWA786472:LWA786473 MFW786472:MFW786473 MPS786472:MPS786473 MZO786472:MZO786473 NJK786472:NJK786473 NTG786472:NTG786473 ODC786472:ODC786473 OMY786472:OMY786473 OWU786472:OWU786473 PGQ786472:PGQ786473 PQM786472:PQM786473 QAI786472:QAI786473 QKE786472:QKE786473 QUA786472:QUA786473 RDW786472:RDW786473 RNS786472:RNS786473 RXO786472:RXO786473 SHK786472:SHK786473 SRG786472:SRG786473 TBC786472:TBC786473 TKY786472:TKY786473 TUU786472:TUU786473 UEQ786472:UEQ786473 UOM786472:UOM786473 UYI786472:UYI786473 VIE786472:VIE786473 VSA786472:VSA786473 WBW786472:WBW786473 WLS786472:WLS786473 WVO786472:WVO786473 G852008:G852009 JC852008:JC852009 SY852008:SY852009 ACU852008:ACU852009 AMQ852008:AMQ852009 AWM852008:AWM852009 BGI852008:BGI852009 BQE852008:BQE852009 CAA852008:CAA852009 CJW852008:CJW852009 CTS852008:CTS852009 DDO852008:DDO852009 DNK852008:DNK852009 DXG852008:DXG852009 EHC852008:EHC852009 EQY852008:EQY852009 FAU852008:FAU852009 FKQ852008:FKQ852009 FUM852008:FUM852009 GEI852008:GEI852009 GOE852008:GOE852009 GYA852008:GYA852009 HHW852008:HHW852009 HRS852008:HRS852009 IBO852008:IBO852009 ILK852008:ILK852009 IVG852008:IVG852009 JFC852008:JFC852009 JOY852008:JOY852009 JYU852008:JYU852009 KIQ852008:KIQ852009 KSM852008:KSM852009 LCI852008:LCI852009 LME852008:LME852009 LWA852008:LWA852009 MFW852008:MFW852009 MPS852008:MPS852009 MZO852008:MZO852009 NJK852008:NJK852009 NTG852008:NTG852009 ODC852008:ODC852009 OMY852008:OMY852009 OWU852008:OWU852009 PGQ852008:PGQ852009 PQM852008:PQM852009 QAI852008:QAI852009 QKE852008:QKE852009 QUA852008:QUA852009 RDW852008:RDW852009 RNS852008:RNS852009 RXO852008:RXO852009 SHK852008:SHK852009 SRG852008:SRG852009 TBC852008:TBC852009 TKY852008:TKY852009 TUU852008:TUU852009 UEQ852008:UEQ852009 UOM852008:UOM852009 UYI852008:UYI852009 VIE852008:VIE852009 VSA852008:VSA852009 WBW852008:WBW852009 WLS852008:WLS852009 WVO852008:WVO852009 G917544:G917545 JC917544:JC917545 SY917544:SY917545 ACU917544:ACU917545 AMQ917544:AMQ917545 AWM917544:AWM917545 BGI917544:BGI917545 BQE917544:BQE917545 CAA917544:CAA917545 CJW917544:CJW917545 CTS917544:CTS917545 DDO917544:DDO917545 DNK917544:DNK917545 DXG917544:DXG917545 EHC917544:EHC917545 EQY917544:EQY917545 FAU917544:FAU917545 FKQ917544:FKQ917545 FUM917544:FUM917545 GEI917544:GEI917545 GOE917544:GOE917545 GYA917544:GYA917545 HHW917544:HHW917545 HRS917544:HRS917545 IBO917544:IBO917545 ILK917544:ILK917545 IVG917544:IVG917545 JFC917544:JFC917545 JOY917544:JOY917545 JYU917544:JYU917545 KIQ917544:KIQ917545 KSM917544:KSM917545 LCI917544:LCI917545 LME917544:LME917545 LWA917544:LWA917545 MFW917544:MFW917545 MPS917544:MPS917545 MZO917544:MZO917545 NJK917544:NJK917545 NTG917544:NTG917545 ODC917544:ODC917545 OMY917544:OMY917545 OWU917544:OWU917545 PGQ917544:PGQ917545 PQM917544:PQM917545 QAI917544:QAI917545 QKE917544:QKE917545 QUA917544:QUA917545 RDW917544:RDW917545 RNS917544:RNS917545 RXO917544:RXO917545 SHK917544:SHK917545 SRG917544:SRG917545 TBC917544:TBC917545 TKY917544:TKY917545 TUU917544:TUU917545 UEQ917544:UEQ917545 UOM917544:UOM917545 UYI917544:UYI917545 VIE917544:VIE917545 VSA917544:VSA917545 WBW917544:WBW917545 WLS917544:WLS917545 WVO917544:WVO917545 G983080:G983081 JC983080:JC983081 SY983080:SY983081 ACU983080:ACU983081 AMQ983080:AMQ983081 AWM983080:AWM983081 BGI983080:BGI983081 BQE983080:BQE983081 CAA983080:CAA983081 CJW983080:CJW983081 CTS983080:CTS983081 DDO983080:DDO983081 DNK983080:DNK983081 DXG983080:DXG983081 EHC983080:EHC983081 EQY983080:EQY983081 FAU983080:FAU983081 FKQ983080:FKQ983081 FUM983080:FUM983081 GEI983080:GEI983081 GOE983080:GOE983081 GYA983080:GYA983081 HHW983080:HHW983081 HRS983080:HRS983081 IBO983080:IBO983081 ILK983080:ILK983081 IVG983080:IVG983081 JFC983080:JFC983081 JOY983080:JOY983081 JYU983080:JYU983081 KIQ983080:KIQ983081 KSM983080:KSM983081 LCI983080:LCI983081 LME983080:LME983081 LWA983080:LWA983081 MFW983080:MFW983081 MPS983080:MPS983081 MZO983080:MZO983081 NJK983080:NJK983081 NTG983080:NTG983081 ODC983080:ODC983081 OMY983080:OMY983081 OWU983080:OWU983081 PGQ983080:PGQ983081 PQM983080:PQM983081 QAI983080:QAI983081 QKE983080:QKE983081 QUA983080:QUA983081 RDW983080:RDW983081 RNS983080:RNS983081 RXO983080:RXO983081 SHK983080:SHK983081 SRG983080:SRG983081 TBC983080:TBC983081 TKY983080:TKY983081 TUU983080:TUU983081 UEQ983080:UEQ983081 UOM983080:UOM983081 UYI983080:UYI983081 VIE983080:VIE983081 VSA983080:VSA983081 WBW983080:WBW983081 WLS983080:WLS983081 WVO983080:WVO983081 G34:G38 JC34:JC38 SY34:SY38 ACU34:ACU38 AMQ34:AMQ38 AWM34:AWM38 BGI34:BGI38 BQE34:BQE38 CAA34:CAA38 CJW34:CJW38 CTS34:CTS38 DDO34:DDO38 DNK34:DNK38 DXG34:DXG38 EHC34:EHC38 EQY34:EQY38 FAU34:FAU38 FKQ34:FKQ38 FUM34:FUM38 GEI34:GEI38 GOE34:GOE38 GYA34:GYA38 HHW34:HHW38 HRS34:HRS38 IBO34:IBO38 ILK34:ILK38 IVG34:IVG38 JFC34:JFC38 JOY34:JOY38 JYU34:JYU38 KIQ34:KIQ38 KSM34:KSM38 LCI34:LCI38 LME34:LME38 LWA34:LWA38 MFW34:MFW38 MPS34:MPS38 MZO34:MZO38 NJK34:NJK38 NTG34:NTG38 ODC34:ODC38 OMY34:OMY38 OWU34:OWU38 PGQ34:PGQ38 PQM34:PQM38 QAI34:QAI38 QKE34:QKE38 QUA34:QUA38 RDW34:RDW38 RNS34:RNS38 RXO34:RXO38 SHK34:SHK38 SRG34:SRG38 TBC34:TBC38 TKY34:TKY38 TUU34:TUU38 UEQ34:UEQ38 UOM34:UOM38 UYI34:UYI38 VIE34:VIE38 VSA34:VSA38 WBW34:WBW38 WLS34:WLS38 WVO34:WVO38 G65570:G65574 JC65570:JC65574 SY65570:SY65574 ACU65570:ACU65574 AMQ65570:AMQ65574 AWM65570:AWM65574 BGI65570:BGI65574 BQE65570:BQE65574 CAA65570:CAA65574 CJW65570:CJW65574 CTS65570:CTS65574 DDO65570:DDO65574 DNK65570:DNK65574 DXG65570:DXG65574 EHC65570:EHC65574 EQY65570:EQY65574 FAU65570:FAU65574 FKQ65570:FKQ65574 FUM65570:FUM65574 GEI65570:GEI65574 GOE65570:GOE65574 GYA65570:GYA65574 HHW65570:HHW65574 HRS65570:HRS65574 IBO65570:IBO65574 ILK65570:ILK65574 IVG65570:IVG65574 JFC65570:JFC65574 JOY65570:JOY65574 JYU65570:JYU65574 KIQ65570:KIQ65574 KSM65570:KSM65574 LCI65570:LCI65574 LME65570:LME65574 LWA65570:LWA65574 MFW65570:MFW65574 MPS65570:MPS65574 MZO65570:MZO65574 NJK65570:NJK65574 NTG65570:NTG65574 ODC65570:ODC65574 OMY65570:OMY65574 OWU65570:OWU65574 PGQ65570:PGQ65574 PQM65570:PQM65574 QAI65570:QAI65574 QKE65570:QKE65574 QUA65570:QUA65574 RDW65570:RDW65574 RNS65570:RNS65574 RXO65570:RXO65574 SHK65570:SHK65574 SRG65570:SRG65574 TBC65570:TBC65574 TKY65570:TKY65574 TUU65570:TUU65574 UEQ65570:UEQ65574 UOM65570:UOM65574 UYI65570:UYI65574 VIE65570:VIE65574 VSA65570:VSA65574 WBW65570:WBW65574 WLS65570:WLS65574 WVO65570:WVO65574 G131106:G131110 JC131106:JC131110 SY131106:SY131110 ACU131106:ACU131110 AMQ131106:AMQ131110 AWM131106:AWM131110 BGI131106:BGI131110 BQE131106:BQE131110 CAA131106:CAA131110 CJW131106:CJW131110 CTS131106:CTS131110 DDO131106:DDO131110 DNK131106:DNK131110 DXG131106:DXG131110 EHC131106:EHC131110 EQY131106:EQY131110 FAU131106:FAU131110 FKQ131106:FKQ131110 FUM131106:FUM131110 GEI131106:GEI131110 GOE131106:GOE131110 GYA131106:GYA131110 HHW131106:HHW131110 HRS131106:HRS131110 IBO131106:IBO131110 ILK131106:ILK131110 IVG131106:IVG131110 JFC131106:JFC131110 JOY131106:JOY131110 JYU131106:JYU131110 KIQ131106:KIQ131110 KSM131106:KSM131110 LCI131106:LCI131110 LME131106:LME131110 LWA131106:LWA131110 MFW131106:MFW131110 MPS131106:MPS131110 MZO131106:MZO131110 NJK131106:NJK131110 NTG131106:NTG131110 ODC131106:ODC131110 OMY131106:OMY131110 OWU131106:OWU131110 PGQ131106:PGQ131110 PQM131106:PQM131110 QAI131106:QAI131110 QKE131106:QKE131110 QUA131106:QUA131110 RDW131106:RDW131110 RNS131106:RNS131110 RXO131106:RXO131110 SHK131106:SHK131110 SRG131106:SRG131110 TBC131106:TBC131110 TKY131106:TKY131110 TUU131106:TUU131110 UEQ131106:UEQ131110 UOM131106:UOM131110 UYI131106:UYI131110 VIE131106:VIE131110 VSA131106:VSA131110 WBW131106:WBW131110 WLS131106:WLS131110 WVO131106:WVO131110 G196642:G196646 JC196642:JC196646 SY196642:SY196646 ACU196642:ACU196646 AMQ196642:AMQ196646 AWM196642:AWM196646 BGI196642:BGI196646 BQE196642:BQE196646 CAA196642:CAA196646 CJW196642:CJW196646 CTS196642:CTS196646 DDO196642:DDO196646 DNK196642:DNK196646 DXG196642:DXG196646 EHC196642:EHC196646 EQY196642:EQY196646 FAU196642:FAU196646 FKQ196642:FKQ196646 FUM196642:FUM196646 GEI196642:GEI196646 GOE196642:GOE196646 GYA196642:GYA196646 HHW196642:HHW196646 HRS196642:HRS196646 IBO196642:IBO196646 ILK196642:ILK196646 IVG196642:IVG196646 JFC196642:JFC196646 JOY196642:JOY196646 JYU196642:JYU196646 KIQ196642:KIQ196646 KSM196642:KSM196646 LCI196642:LCI196646 LME196642:LME196646 LWA196642:LWA196646 MFW196642:MFW196646 MPS196642:MPS196646 MZO196642:MZO196646 NJK196642:NJK196646 NTG196642:NTG196646 ODC196642:ODC196646 OMY196642:OMY196646 OWU196642:OWU196646 PGQ196642:PGQ196646 PQM196642:PQM196646 QAI196642:QAI196646 QKE196642:QKE196646 QUA196642:QUA196646 RDW196642:RDW196646 RNS196642:RNS196646 RXO196642:RXO196646 SHK196642:SHK196646 SRG196642:SRG196646 TBC196642:TBC196646 TKY196642:TKY196646 TUU196642:TUU196646 UEQ196642:UEQ196646 UOM196642:UOM196646 UYI196642:UYI196646 VIE196642:VIE196646 VSA196642:VSA196646 WBW196642:WBW196646 WLS196642:WLS196646 WVO196642:WVO196646 G262178:G262182 JC262178:JC262182 SY262178:SY262182 ACU262178:ACU262182 AMQ262178:AMQ262182 AWM262178:AWM262182 BGI262178:BGI262182 BQE262178:BQE262182 CAA262178:CAA262182 CJW262178:CJW262182 CTS262178:CTS262182 DDO262178:DDO262182 DNK262178:DNK262182 DXG262178:DXG262182 EHC262178:EHC262182 EQY262178:EQY262182 FAU262178:FAU262182 FKQ262178:FKQ262182 FUM262178:FUM262182 GEI262178:GEI262182 GOE262178:GOE262182 GYA262178:GYA262182 HHW262178:HHW262182 HRS262178:HRS262182 IBO262178:IBO262182 ILK262178:ILK262182 IVG262178:IVG262182 JFC262178:JFC262182 JOY262178:JOY262182 JYU262178:JYU262182 KIQ262178:KIQ262182 KSM262178:KSM262182 LCI262178:LCI262182 LME262178:LME262182 LWA262178:LWA262182 MFW262178:MFW262182 MPS262178:MPS262182 MZO262178:MZO262182 NJK262178:NJK262182 NTG262178:NTG262182 ODC262178:ODC262182 OMY262178:OMY262182 OWU262178:OWU262182 PGQ262178:PGQ262182 PQM262178:PQM262182 QAI262178:QAI262182 QKE262178:QKE262182 QUA262178:QUA262182 RDW262178:RDW262182 RNS262178:RNS262182 RXO262178:RXO262182 SHK262178:SHK262182 SRG262178:SRG262182 TBC262178:TBC262182 TKY262178:TKY262182 TUU262178:TUU262182 UEQ262178:UEQ262182 UOM262178:UOM262182 UYI262178:UYI262182 VIE262178:VIE262182 VSA262178:VSA262182 WBW262178:WBW262182 WLS262178:WLS262182 WVO262178:WVO262182 G327714:G327718 JC327714:JC327718 SY327714:SY327718 ACU327714:ACU327718 AMQ327714:AMQ327718 AWM327714:AWM327718 BGI327714:BGI327718 BQE327714:BQE327718 CAA327714:CAA327718 CJW327714:CJW327718 CTS327714:CTS327718 DDO327714:DDO327718 DNK327714:DNK327718 DXG327714:DXG327718 EHC327714:EHC327718 EQY327714:EQY327718 FAU327714:FAU327718 FKQ327714:FKQ327718 FUM327714:FUM327718 GEI327714:GEI327718 GOE327714:GOE327718 GYA327714:GYA327718 HHW327714:HHW327718 HRS327714:HRS327718 IBO327714:IBO327718 ILK327714:ILK327718 IVG327714:IVG327718 JFC327714:JFC327718 JOY327714:JOY327718 JYU327714:JYU327718 KIQ327714:KIQ327718 KSM327714:KSM327718 LCI327714:LCI327718 LME327714:LME327718 LWA327714:LWA327718 MFW327714:MFW327718 MPS327714:MPS327718 MZO327714:MZO327718 NJK327714:NJK327718 NTG327714:NTG327718 ODC327714:ODC327718 OMY327714:OMY327718 OWU327714:OWU327718 PGQ327714:PGQ327718 PQM327714:PQM327718 QAI327714:QAI327718 QKE327714:QKE327718 QUA327714:QUA327718 RDW327714:RDW327718 RNS327714:RNS327718 RXO327714:RXO327718 SHK327714:SHK327718 SRG327714:SRG327718 TBC327714:TBC327718 TKY327714:TKY327718 TUU327714:TUU327718 UEQ327714:UEQ327718 UOM327714:UOM327718 UYI327714:UYI327718 VIE327714:VIE327718 VSA327714:VSA327718 WBW327714:WBW327718 WLS327714:WLS327718 WVO327714:WVO327718 G393250:G393254 JC393250:JC393254 SY393250:SY393254 ACU393250:ACU393254 AMQ393250:AMQ393254 AWM393250:AWM393254 BGI393250:BGI393254 BQE393250:BQE393254 CAA393250:CAA393254 CJW393250:CJW393254 CTS393250:CTS393254 DDO393250:DDO393254 DNK393250:DNK393254 DXG393250:DXG393254 EHC393250:EHC393254 EQY393250:EQY393254 FAU393250:FAU393254 FKQ393250:FKQ393254 FUM393250:FUM393254 GEI393250:GEI393254 GOE393250:GOE393254 GYA393250:GYA393254 HHW393250:HHW393254 HRS393250:HRS393254 IBO393250:IBO393254 ILK393250:ILK393254 IVG393250:IVG393254 JFC393250:JFC393254 JOY393250:JOY393254 JYU393250:JYU393254 KIQ393250:KIQ393254 KSM393250:KSM393254 LCI393250:LCI393254 LME393250:LME393254 LWA393250:LWA393254 MFW393250:MFW393254 MPS393250:MPS393254 MZO393250:MZO393254 NJK393250:NJK393254 NTG393250:NTG393254 ODC393250:ODC393254 OMY393250:OMY393254 OWU393250:OWU393254 PGQ393250:PGQ393254 PQM393250:PQM393254 QAI393250:QAI393254 QKE393250:QKE393254 QUA393250:QUA393254 RDW393250:RDW393254 RNS393250:RNS393254 RXO393250:RXO393254 SHK393250:SHK393254 SRG393250:SRG393254 TBC393250:TBC393254 TKY393250:TKY393254 TUU393250:TUU393254 UEQ393250:UEQ393254 UOM393250:UOM393254 UYI393250:UYI393254 VIE393250:VIE393254 VSA393250:VSA393254 WBW393250:WBW393254 WLS393250:WLS393254 WVO393250:WVO393254 G458786:G458790 JC458786:JC458790 SY458786:SY458790 ACU458786:ACU458790 AMQ458786:AMQ458790 AWM458786:AWM458790 BGI458786:BGI458790 BQE458786:BQE458790 CAA458786:CAA458790 CJW458786:CJW458790 CTS458786:CTS458790 DDO458786:DDO458790 DNK458786:DNK458790 DXG458786:DXG458790 EHC458786:EHC458790 EQY458786:EQY458790 FAU458786:FAU458790 FKQ458786:FKQ458790 FUM458786:FUM458790 GEI458786:GEI458790 GOE458786:GOE458790 GYA458786:GYA458790 HHW458786:HHW458790 HRS458786:HRS458790 IBO458786:IBO458790 ILK458786:ILK458790 IVG458786:IVG458790 JFC458786:JFC458790 JOY458786:JOY458790 JYU458786:JYU458790 KIQ458786:KIQ458790 KSM458786:KSM458790 LCI458786:LCI458790 LME458786:LME458790 LWA458786:LWA458790 MFW458786:MFW458790 MPS458786:MPS458790 MZO458786:MZO458790 NJK458786:NJK458790 NTG458786:NTG458790 ODC458786:ODC458790 OMY458786:OMY458790 OWU458786:OWU458790 PGQ458786:PGQ458790 PQM458786:PQM458790 QAI458786:QAI458790 QKE458786:QKE458790 QUA458786:QUA458790 RDW458786:RDW458790 RNS458786:RNS458790 RXO458786:RXO458790 SHK458786:SHK458790 SRG458786:SRG458790 TBC458786:TBC458790 TKY458786:TKY458790 TUU458786:TUU458790 UEQ458786:UEQ458790 UOM458786:UOM458790 UYI458786:UYI458790 VIE458786:VIE458790 VSA458786:VSA458790 WBW458786:WBW458790 WLS458786:WLS458790 WVO458786:WVO458790 G524322:G524326 JC524322:JC524326 SY524322:SY524326 ACU524322:ACU524326 AMQ524322:AMQ524326 AWM524322:AWM524326 BGI524322:BGI524326 BQE524322:BQE524326 CAA524322:CAA524326 CJW524322:CJW524326 CTS524322:CTS524326 DDO524322:DDO524326 DNK524322:DNK524326 DXG524322:DXG524326 EHC524322:EHC524326 EQY524322:EQY524326 FAU524322:FAU524326 FKQ524322:FKQ524326 FUM524322:FUM524326 GEI524322:GEI524326 GOE524322:GOE524326 GYA524322:GYA524326 HHW524322:HHW524326 HRS524322:HRS524326 IBO524322:IBO524326 ILK524322:ILK524326 IVG524322:IVG524326 JFC524322:JFC524326 JOY524322:JOY524326 JYU524322:JYU524326 KIQ524322:KIQ524326 KSM524322:KSM524326 LCI524322:LCI524326 LME524322:LME524326 LWA524322:LWA524326 MFW524322:MFW524326 MPS524322:MPS524326 MZO524322:MZO524326 NJK524322:NJK524326 NTG524322:NTG524326 ODC524322:ODC524326 OMY524322:OMY524326 OWU524322:OWU524326 PGQ524322:PGQ524326 PQM524322:PQM524326 QAI524322:QAI524326 QKE524322:QKE524326 QUA524322:QUA524326 RDW524322:RDW524326 RNS524322:RNS524326 RXO524322:RXO524326 SHK524322:SHK524326 SRG524322:SRG524326 TBC524322:TBC524326 TKY524322:TKY524326 TUU524322:TUU524326 UEQ524322:UEQ524326 UOM524322:UOM524326 UYI524322:UYI524326 VIE524322:VIE524326 VSA524322:VSA524326 WBW524322:WBW524326 WLS524322:WLS524326 WVO524322:WVO524326 G589858:G589862 JC589858:JC589862 SY589858:SY589862 ACU589858:ACU589862 AMQ589858:AMQ589862 AWM589858:AWM589862 BGI589858:BGI589862 BQE589858:BQE589862 CAA589858:CAA589862 CJW589858:CJW589862 CTS589858:CTS589862 DDO589858:DDO589862 DNK589858:DNK589862 DXG589858:DXG589862 EHC589858:EHC589862 EQY589858:EQY589862 FAU589858:FAU589862 FKQ589858:FKQ589862 FUM589858:FUM589862 GEI589858:GEI589862 GOE589858:GOE589862 GYA589858:GYA589862 HHW589858:HHW589862 HRS589858:HRS589862 IBO589858:IBO589862 ILK589858:ILK589862 IVG589858:IVG589862 JFC589858:JFC589862 JOY589858:JOY589862 JYU589858:JYU589862 KIQ589858:KIQ589862 KSM589858:KSM589862 LCI589858:LCI589862 LME589858:LME589862 LWA589858:LWA589862 MFW589858:MFW589862 MPS589858:MPS589862 MZO589858:MZO589862 NJK589858:NJK589862 NTG589858:NTG589862 ODC589858:ODC589862 OMY589858:OMY589862 OWU589858:OWU589862 PGQ589858:PGQ589862 PQM589858:PQM589862 QAI589858:QAI589862 QKE589858:QKE589862 QUA589858:QUA589862 RDW589858:RDW589862 RNS589858:RNS589862 RXO589858:RXO589862 SHK589858:SHK589862 SRG589858:SRG589862 TBC589858:TBC589862 TKY589858:TKY589862 TUU589858:TUU589862 UEQ589858:UEQ589862 UOM589858:UOM589862 UYI589858:UYI589862 VIE589858:VIE589862 VSA589858:VSA589862 WBW589858:WBW589862 WLS589858:WLS589862 WVO589858:WVO589862 G655394:G655398 JC655394:JC655398 SY655394:SY655398 ACU655394:ACU655398 AMQ655394:AMQ655398 AWM655394:AWM655398 BGI655394:BGI655398 BQE655394:BQE655398 CAA655394:CAA655398 CJW655394:CJW655398 CTS655394:CTS655398 DDO655394:DDO655398 DNK655394:DNK655398 DXG655394:DXG655398 EHC655394:EHC655398 EQY655394:EQY655398 FAU655394:FAU655398 FKQ655394:FKQ655398 FUM655394:FUM655398 GEI655394:GEI655398 GOE655394:GOE655398 GYA655394:GYA655398 HHW655394:HHW655398 HRS655394:HRS655398 IBO655394:IBO655398 ILK655394:ILK655398 IVG655394:IVG655398 JFC655394:JFC655398 JOY655394:JOY655398 JYU655394:JYU655398 KIQ655394:KIQ655398 KSM655394:KSM655398 LCI655394:LCI655398 LME655394:LME655398 LWA655394:LWA655398 MFW655394:MFW655398 MPS655394:MPS655398 MZO655394:MZO655398 NJK655394:NJK655398 NTG655394:NTG655398 ODC655394:ODC655398 OMY655394:OMY655398 OWU655394:OWU655398 PGQ655394:PGQ655398 PQM655394:PQM655398 QAI655394:QAI655398 QKE655394:QKE655398 QUA655394:QUA655398 RDW655394:RDW655398 RNS655394:RNS655398 RXO655394:RXO655398 SHK655394:SHK655398 SRG655394:SRG655398 TBC655394:TBC655398 TKY655394:TKY655398 TUU655394:TUU655398 UEQ655394:UEQ655398 UOM655394:UOM655398 UYI655394:UYI655398 VIE655394:VIE655398 VSA655394:VSA655398 WBW655394:WBW655398 WLS655394:WLS655398 WVO655394:WVO655398 G720930:G720934 JC720930:JC720934 SY720930:SY720934 ACU720930:ACU720934 AMQ720930:AMQ720934 AWM720930:AWM720934 BGI720930:BGI720934 BQE720930:BQE720934 CAA720930:CAA720934 CJW720930:CJW720934 CTS720930:CTS720934 DDO720930:DDO720934 DNK720930:DNK720934 DXG720930:DXG720934 EHC720930:EHC720934 EQY720930:EQY720934 FAU720930:FAU720934 FKQ720930:FKQ720934 FUM720930:FUM720934 GEI720930:GEI720934 GOE720930:GOE720934 GYA720930:GYA720934 HHW720930:HHW720934 HRS720930:HRS720934 IBO720930:IBO720934 ILK720930:ILK720934 IVG720930:IVG720934 JFC720930:JFC720934 JOY720930:JOY720934 JYU720930:JYU720934 KIQ720930:KIQ720934 KSM720930:KSM720934 LCI720930:LCI720934 LME720930:LME720934 LWA720930:LWA720934 MFW720930:MFW720934 MPS720930:MPS720934 MZO720930:MZO720934 NJK720930:NJK720934 NTG720930:NTG720934 ODC720930:ODC720934 OMY720930:OMY720934 OWU720930:OWU720934 PGQ720930:PGQ720934 PQM720930:PQM720934 QAI720930:QAI720934 QKE720930:QKE720934 QUA720930:QUA720934 RDW720930:RDW720934 RNS720930:RNS720934 RXO720930:RXO720934 SHK720930:SHK720934 SRG720930:SRG720934 TBC720930:TBC720934 TKY720930:TKY720934 TUU720930:TUU720934 UEQ720930:UEQ720934 UOM720930:UOM720934 UYI720930:UYI720934 VIE720930:VIE720934 VSA720930:VSA720934 WBW720930:WBW720934 WLS720930:WLS720934 WVO720930:WVO720934 G786466:G786470 JC786466:JC786470 SY786466:SY786470 ACU786466:ACU786470 AMQ786466:AMQ786470 AWM786466:AWM786470 BGI786466:BGI786470 BQE786466:BQE786470 CAA786466:CAA786470 CJW786466:CJW786470 CTS786466:CTS786470 DDO786466:DDO786470 DNK786466:DNK786470 DXG786466:DXG786470 EHC786466:EHC786470 EQY786466:EQY786470 FAU786466:FAU786470 FKQ786466:FKQ786470 FUM786466:FUM786470 GEI786466:GEI786470 GOE786466:GOE786470 GYA786466:GYA786470 HHW786466:HHW786470 HRS786466:HRS786470 IBO786466:IBO786470 ILK786466:ILK786470 IVG786466:IVG786470 JFC786466:JFC786470 JOY786466:JOY786470 JYU786466:JYU786470 KIQ786466:KIQ786470 KSM786466:KSM786470 LCI786466:LCI786470 LME786466:LME786470 LWA786466:LWA786470 MFW786466:MFW786470 MPS786466:MPS786470 MZO786466:MZO786470 NJK786466:NJK786470 NTG786466:NTG786470 ODC786466:ODC786470 OMY786466:OMY786470 OWU786466:OWU786470 PGQ786466:PGQ786470 PQM786466:PQM786470 QAI786466:QAI786470 QKE786466:QKE786470 QUA786466:QUA786470 RDW786466:RDW786470 RNS786466:RNS786470 RXO786466:RXO786470 SHK786466:SHK786470 SRG786466:SRG786470 TBC786466:TBC786470 TKY786466:TKY786470 TUU786466:TUU786470 UEQ786466:UEQ786470 UOM786466:UOM786470 UYI786466:UYI786470 VIE786466:VIE786470 VSA786466:VSA786470 WBW786466:WBW786470 WLS786466:WLS786470 WVO786466:WVO786470 G852002:G852006 JC852002:JC852006 SY852002:SY852006 ACU852002:ACU852006 AMQ852002:AMQ852006 AWM852002:AWM852006 BGI852002:BGI852006 BQE852002:BQE852006 CAA852002:CAA852006 CJW852002:CJW852006 CTS852002:CTS852006 DDO852002:DDO852006 DNK852002:DNK852006 DXG852002:DXG852006 EHC852002:EHC852006 EQY852002:EQY852006 FAU852002:FAU852006 FKQ852002:FKQ852006 FUM852002:FUM852006 GEI852002:GEI852006 GOE852002:GOE852006 GYA852002:GYA852006 HHW852002:HHW852006 HRS852002:HRS852006 IBO852002:IBO852006 ILK852002:ILK852006 IVG852002:IVG852006 JFC852002:JFC852006 JOY852002:JOY852006 JYU852002:JYU852006 KIQ852002:KIQ852006 KSM852002:KSM852006 LCI852002:LCI852006 LME852002:LME852006 LWA852002:LWA852006 MFW852002:MFW852006 MPS852002:MPS852006 MZO852002:MZO852006 NJK852002:NJK852006 NTG852002:NTG852006 ODC852002:ODC852006 OMY852002:OMY852006 OWU852002:OWU852006 PGQ852002:PGQ852006 PQM852002:PQM852006 QAI852002:QAI852006 QKE852002:QKE852006 QUA852002:QUA852006 RDW852002:RDW852006 RNS852002:RNS852006 RXO852002:RXO852006 SHK852002:SHK852006 SRG852002:SRG852006 TBC852002:TBC852006 TKY852002:TKY852006 TUU852002:TUU852006 UEQ852002:UEQ852006 UOM852002:UOM852006 UYI852002:UYI852006 VIE852002:VIE852006 VSA852002:VSA852006 WBW852002:WBW852006 WLS852002:WLS852006 WVO852002:WVO852006 G917538:G917542 JC917538:JC917542 SY917538:SY917542 ACU917538:ACU917542 AMQ917538:AMQ917542 AWM917538:AWM917542 BGI917538:BGI917542 BQE917538:BQE917542 CAA917538:CAA917542 CJW917538:CJW917542 CTS917538:CTS917542 DDO917538:DDO917542 DNK917538:DNK917542 DXG917538:DXG917542 EHC917538:EHC917542 EQY917538:EQY917542 FAU917538:FAU917542 FKQ917538:FKQ917542 FUM917538:FUM917542 GEI917538:GEI917542 GOE917538:GOE917542 GYA917538:GYA917542 HHW917538:HHW917542 HRS917538:HRS917542 IBO917538:IBO917542 ILK917538:ILK917542 IVG917538:IVG917542 JFC917538:JFC917542 JOY917538:JOY917542 JYU917538:JYU917542 KIQ917538:KIQ917542 KSM917538:KSM917542 LCI917538:LCI917542 LME917538:LME917542 LWA917538:LWA917542 MFW917538:MFW917542 MPS917538:MPS917542 MZO917538:MZO917542 NJK917538:NJK917542 NTG917538:NTG917542 ODC917538:ODC917542 OMY917538:OMY917542 OWU917538:OWU917542 PGQ917538:PGQ917542 PQM917538:PQM917542 QAI917538:QAI917542 QKE917538:QKE917542 QUA917538:QUA917542 RDW917538:RDW917542 RNS917538:RNS917542 RXO917538:RXO917542 SHK917538:SHK917542 SRG917538:SRG917542 TBC917538:TBC917542 TKY917538:TKY917542 TUU917538:TUU917542 UEQ917538:UEQ917542 UOM917538:UOM917542 UYI917538:UYI917542 VIE917538:VIE917542 VSA917538:VSA917542 WBW917538:WBW917542 WLS917538:WLS917542 WVO917538:WVO917542 G983074:G983078 JC983074:JC983078 SY983074:SY983078 ACU983074:ACU983078 AMQ983074:AMQ983078 AWM983074:AWM983078 BGI983074:BGI983078 BQE983074:BQE983078 CAA983074:CAA983078 CJW983074:CJW983078 CTS983074:CTS983078 DDO983074:DDO983078 DNK983074:DNK983078 DXG983074:DXG983078 EHC983074:EHC983078 EQY983074:EQY983078 FAU983074:FAU983078 FKQ983074:FKQ983078 FUM983074:FUM983078 GEI983074:GEI983078 GOE983074:GOE983078 GYA983074:GYA983078 HHW983074:HHW983078 HRS983074:HRS983078 IBO983074:IBO983078 ILK983074:ILK983078 IVG983074:IVG983078 JFC983074:JFC983078 JOY983074:JOY983078 JYU983074:JYU983078 KIQ983074:KIQ983078 KSM983074:KSM983078 LCI983074:LCI983078 LME983074:LME983078 LWA983074:LWA983078 MFW983074:MFW983078 MPS983074:MPS983078 MZO983074:MZO983078 NJK983074:NJK983078 NTG983074:NTG983078 ODC983074:ODC983078 OMY983074:OMY983078 OWU983074:OWU983078 PGQ983074:PGQ983078 PQM983074:PQM983078 QAI983074:QAI983078 QKE983074:QKE983078 QUA983074:QUA983078 RDW983074:RDW983078 RNS983074:RNS983078 RXO983074:RXO983078 SHK983074:SHK983078 SRG983074:SRG983078 TBC983074:TBC983078 TKY983074:TKY983078 TUU983074:TUU983078 UEQ983074:UEQ983078 UOM983074:UOM983078 UYI983074:UYI983078 VIE983074:VIE983078 VSA983074:VSA983078 WBW983074:WBW983078 WLS983074:WLS983078 WVO983074:WVO983078" xr:uid="{00000000-0002-0000-0A00-000006000000}">
      <formula1>K34</formula1>
      <formula2>L34</formula2>
    </dataValidation>
    <dataValidation type="decimal" allowBlank="1" showInputMessage="1" showErrorMessage="1" sqref="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xr:uid="{00000000-0002-0000-0A00-000007000000}">
      <formula1>G21</formula1>
      <formula2>H21</formula2>
    </dataValidation>
  </dataValidations>
  <pageMargins left="0.25" right="0.25" top="0.75" bottom="0.75" header="0.3" footer="0.3"/>
  <pageSetup paperSize="9" scale="67" orientation="landscape" cellComments="asDisplayed" r:id="rId1"/>
  <headerFooter>
    <oddHeader>&amp;C&amp;G</oddHeader>
    <oddFooter>&amp;LPREFEITURA MUNICIPAL DE LINDOLFO COLLOR, RS&amp;RPágina &amp;P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Imprimir">
                <anchor moveWithCells="1">
                  <from>
                    <xdr:col>6</xdr:col>
                    <xdr:colOff>381000</xdr:colOff>
                    <xdr:row>7</xdr:row>
                    <xdr:rowOff>28575</xdr:rowOff>
                  </from>
                  <to>
                    <xdr:col>8</xdr:col>
                    <xdr:colOff>371475</xdr:colOff>
                    <xdr:row>10</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4"/>
  <sheetViews>
    <sheetView topLeftCell="A22" zoomScale="90" zoomScaleNormal="90" zoomScaleSheetLayoutView="100" workbookViewId="0">
      <selection activeCell="L50" sqref="L50"/>
    </sheetView>
  </sheetViews>
  <sheetFormatPr defaultColWidth="9.140625" defaultRowHeight="15" x14ac:dyDescent="0.25"/>
  <cols>
    <col min="1" max="1" width="21.7109375" style="83" customWidth="1"/>
    <col min="2" max="2" width="10.28515625" style="93" customWidth="1"/>
    <col min="3" max="3" width="15.7109375" style="93" customWidth="1"/>
    <col min="4" max="4" width="55" style="83" customWidth="1"/>
    <col min="5" max="5" width="7.5703125" style="93" customWidth="1"/>
    <col min="6" max="6" width="11.7109375" style="90" bestFit="1" customWidth="1"/>
    <col min="7" max="14" width="9.140625" style="88"/>
    <col min="15" max="15" width="12" style="88" bestFit="1" customWidth="1"/>
    <col min="16" max="16384" width="9.140625" style="88"/>
  </cols>
  <sheetData>
    <row r="1" spans="1:10" ht="15.75" thickBot="1" x14ac:dyDescent="0.3">
      <c r="B1" s="418" t="s">
        <v>195</v>
      </c>
      <c r="C1" s="418"/>
      <c r="D1" s="418"/>
      <c r="E1" s="418"/>
      <c r="F1" s="418"/>
      <c r="G1" s="418"/>
      <c r="H1" s="418"/>
    </row>
    <row r="2" spans="1:10" s="89" customFormat="1" ht="15" customHeight="1" thickTop="1" thickBot="1" x14ac:dyDescent="0.3">
      <c r="A2" s="88"/>
      <c r="B2" s="88"/>
      <c r="C2" s="88"/>
      <c r="D2" s="88"/>
      <c r="E2" s="88"/>
      <c r="F2" s="88"/>
      <c r="G2" s="88"/>
      <c r="H2" s="88"/>
      <c r="I2" s="88"/>
      <c r="J2" s="88"/>
    </row>
    <row r="3" spans="1:10" s="89" customFormat="1" ht="30" customHeight="1" x14ac:dyDescent="0.25">
      <c r="A3" s="88"/>
      <c r="B3" s="419" t="str">
        <f>Orc!A3</f>
        <v>PROJETO EXECUTIVO DE PAVIMENTAÇÃO URBANA, SINALIZAÇÃO VIÁRIA E ACESSIBILIDADE</v>
      </c>
      <c r="C3" s="420"/>
      <c r="D3" s="420"/>
      <c r="E3" s="420"/>
      <c r="F3" s="420"/>
      <c r="G3" s="420"/>
      <c r="H3" s="421"/>
      <c r="I3" s="88"/>
      <c r="J3" s="88"/>
    </row>
    <row r="4" spans="1:10" s="89" customFormat="1" ht="30" customHeight="1" thickBot="1" x14ac:dyDescent="0.3">
      <c r="A4" s="88"/>
      <c r="B4" s="422" t="str">
        <f>Orc!A4</f>
        <v>RUA BENNO JOHAN HEINLE - EXTENSÃO 125,00 m  - BAIRRO INDUSTRIAL - LINDOLFO COLLOR, RS</v>
      </c>
      <c r="C4" s="423"/>
      <c r="D4" s="423"/>
      <c r="E4" s="423"/>
      <c r="F4" s="423"/>
      <c r="G4" s="423"/>
      <c r="H4" s="424"/>
      <c r="I4" s="88"/>
      <c r="J4" s="88"/>
    </row>
    <row r="6" spans="1:10" x14ac:dyDescent="0.25">
      <c r="B6" s="448" t="s">
        <v>1</v>
      </c>
      <c r="C6" s="448"/>
      <c r="D6" s="448" t="s">
        <v>2</v>
      </c>
      <c r="E6" s="448" t="s">
        <v>3</v>
      </c>
      <c r="F6" s="98" t="s">
        <v>5</v>
      </c>
    </row>
    <row r="7" spans="1:10" x14ac:dyDescent="0.25">
      <c r="B7" s="448"/>
      <c r="C7" s="448"/>
      <c r="D7" s="448"/>
      <c r="E7" s="448"/>
      <c r="F7" s="98" t="s">
        <v>6</v>
      </c>
    </row>
    <row r="8" spans="1:10" x14ac:dyDescent="0.25">
      <c r="A8" s="217" t="str">
        <f t="shared" ref="A8:A16" si="0">CONCATENATE(B8&amp;"-"&amp;C8)</f>
        <v>CP-1</v>
      </c>
      <c r="B8" s="218" t="s">
        <v>172</v>
      </c>
      <c r="C8" s="218">
        <v>1</v>
      </c>
      <c r="D8" s="217" t="s">
        <v>200</v>
      </c>
      <c r="E8" s="216" t="str">
        <f>'CP01'!J18</f>
        <v>%</v>
      </c>
      <c r="F8" s="254">
        <f>'CP01'!J17</f>
        <v>5463.2</v>
      </c>
    </row>
    <row r="9" spans="1:10" ht="30" x14ac:dyDescent="0.25">
      <c r="A9" s="217" t="str">
        <f t="shared" si="0"/>
        <v>CP-3</v>
      </c>
      <c r="B9" s="218" t="s">
        <v>172</v>
      </c>
      <c r="C9" s="218">
        <v>3</v>
      </c>
      <c r="D9" s="217" t="s">
        <v>287</v>
      </c>
      <c r="E9" s="216" t="str">
        <f>'CP03'!J20</f>
        <v>m²</v>
      </c>
      <c r="F9" s="254">
        <f>'CP03'!J19</f>
        <v>168.34</v>
      </c>
    </row>
    <row r="10" spans="1:10" x14ac:dyDescent="0.25">
      <c r="A10" s="217" t="str">
        <f t="shared" si="0"/>
        <v>SINAPI-I-34723</v>
      </c>
      <c r="B10" s="218" t="s">
        <v>12</v>
      </c>
      <c r="C10" s="218">
        <v>34723</v>
      </c>
      <c r="D10" s="217" t="s">
        <v>43</v>
      </c>
      <c r="E10" s="218" t="s">
        <v>7</v>
      </c>
      <c r="F10" s="254">
        <v>519.75</v>
      </c>
      <c r="H10" s="91"/>
    </row>
    <row r="11" spans="1:10" x14ac:dyDescent="0.25">
      <c r="A11" s="217" t="str">
        <f t="shared" si="0"/>
        <v>SINAPI-I-21013</v>
      </c>
      <c r="B11" s="218" t="s">
        <v>12</v>
      </c>
      <c r="C11" s="218">
        <v>21013</v>
      </c>
      <c r="D11" s="217" t="s">
        <v>292</v>
      </c>
      <c r="E11" s="218" t="s">
        <v>33</v>
      </c>
      <c r="F11" s="254">
        <v>90.82</v>
      </c>
      <c r="H11" s="91"/>
    </row>
    <row r="12" spans="1:10" x14ac:dyDescent="0.25">
      <c r="A12" s="217" t="str">
        <f t="shared" si="0"/>
        <v>SINAPI-C-67826</v>
      </c>
      <c r="B12" s="218" t="s">
        <v>11</v>
      </c>
      <c r="C12" s="218">
        <v>67826</v>
      </c>
      <c r="D12" s="217" t="s">
        <v>249</v>
      </c>
      <c r="E12" s="218" t="s">
        <v>10</v>
      </c>
      <c r="F12" s="254">
        <v>146.81</v>
      </c>
    </row>
    <row r="13" spans="1:10" ht="30" x14ac:dyDescent="0.25">
      <c r="A13" s="217" t="str">
        <f>CONCATENATE(B12&amp;"-"&amp;C13)</f>
        <v>SINAPI-C-5928</v>
      </c>
      <c r="B13" s="218" t="s">
        <v>11</v>
      </c>
      <c r="C13" s="218">
        <v>5928</v>
      </c>
      <c r="D13" s="217" t="s">
        <v>52</v>
      </c>
      <c r="E13" s="218" t="s">
        <v>10</v>
      </c>
      <c r="F13" s="255">
        <v>217.41</v>
      </c>
    </row>
    <row r="14" spans="1:10" x14ac:dyDescent="0.25">
      <c r="A14" s="217" t="str">
        <f t="shared" si="0"/>
        <v>SINAPI-C-91395</v>
      </c>
      <c r="B14" s="218" t="s">
        <v>11</v>
      </c>
      <c r="C14" s="218">
        <v>91395</v>
      </c>
      <c r="D14" s="217" t="s">
        <v>53</v>
      </c>
      <c r="E14" s="218" t="s">
        <v>10</v>
      </c>
      <c r="F14" s="254">
        <v>44.25</v>
      </c>
    </row>
    <row r="15" spans="1:10" ht="30" x14ac:dyDescent="0.25">
      <c r="A15" s="217" t="str">
        <f t="shared" si="0"/>
        <v>SINAPI-C-95875</v>
      </c>
      <c r="B15" s="218" t="s">
        <v>11</v>
      </c>
      <c r="C15" s="218">
        <v>95875</v>
      </c>
      <c r="D15" s="217" t="s">
        <v>229</v>
      </c>
      <c r="E15" s="218" t="s">
        <v>34</v>
      </c>
      <c r="F15" s="254">
        <v>1.62</v>
      </c>
    </row>
    <row r="16" spans="1:10" ht="30" x14ac:dyDescent="0.25">
      <c r="A16" s="217" t="str">
        <f t="shared" si="0"/>
        <v>SINAPI-C-100577</v>
      </c>
      <c r="B16" s="218" t="s">
        <v>11</v>
      </c>
      <c r="C16" s="218">
        <v>100577</v>
      </c>
      <c r="D16" s="217" t="s">
        <v>300</v>
      </c>
      <c r="E16" s="218" t="s">
        <v>7</v>
      </c>
      <c r="F16" s="254">
        <v>0.98</v>
      </c>
      <c r="I16" s="88" t="s">
        <v>318</v>
      </c>
    </row>
    <row r="17" spans="1:6" x14ac:dyDescent="0.25">
      <c r="A17" s="217" t="str">
        <f t="shared" ref="A17:A22" si="1">CONCATENATE(B17&amp;"-"&amp;C17)</f>
        <v>SINAPI-C-88316</v>
      </c>
      <c r="B17" s="218" t="s">
        <v>11</v>
      </c>
      <c r="C17" s="218">
        <v>88316</v>
      </c>
      <c r="D17" s="217" t="s">
        <v>194</v>
      </c>
      <c r="E17" s="218" t="s">
        <v>10</v>
      </c>
      <c r="F17" s="254">
        <v>18.84</v>
      </c>
    </row>
    <row r="18" spans="1:6" x14ac:dyDescent="0.25">
      <c r="A18" s="217" t="str">
        <f t="shared" si="1"/>
        <v>SINAPI-C-88309</v>
      </c>
      <c r="B18" s="218" t="s">
        <v>11</v>
      </c>
      <c r="C18" s="218">
        <v>88309</v>
      </c>
      <c r="D18" s="217" t="s">
        <v>319</v>
      </c>
      <c r="E18" s="218" t="s">
        <v>10</v>
      </c>
      <c r="F18" s="254">
        <v>22.79</v>
      </c>
    </row>
    <row r="19" spans="1:6" ht="30" x14ac:dyDescent="0.25">
      <c r="A19" s="217" t="str">
        <f t="shared" si="1"/>
        <v>SINAPI-C-90778</v>
      </c>
      <c r="B19" s="218" t="s">
        <v>11</v>
      </c>
      <c r="C19" s="218">
        <v>90778</v>
      </c>
      <c r="D19" s="217" t="s">
        <v>188</v>
      </c>
      <c r="E19" s="218" t="s">
        <v>10</v>
      </c>
      <c r="F19" s="254">
        <v>108.99</v>
      </c>
    </row>
    <row r="20" spans="1:6" x14ac:dyDescent="0.25">
      <c r="A20" s="217" t="str">
        <f t="shared" si="1"/>
        <v>SINAPI-C-90780</v>
      </c>
      <c r="B20" s="218" t="s">
        <v>11</v>
      </c>
      <c r="C20" s="218">
        <v>90780</v>
      </c>
      <c r="D20" s="217" t="s">
        <v>191</v>
      </c>
      <c r="E20" s="218" t="s">
        <v>10</v>
      </c>
      <c r="F20" s="254">
        <v>72.099999999999994</v>
      </c>
    </row>
    <row r="21" spans="1:6" ht="30" x14ac:dyDescent="0.25">
      <c r="A21" s="217" t="str">
        <f t="shared" si="1"/>
        <v>SINAPI-C-92402</v>
      </c>
      <c r="B21" s="218" t="s">
        <v>11</v>
      </c>
      <c r="C21" s="218">
        <v>92402</v>
      </c>
      <c r="D21" s="217" t="s">
        <v>164</v>
      </c>
      <c r="E21" s="218" t="s">
        <v>7</v>
      </c>
      <c r="F21" s="254">
        <v>66.02</v>
      </c>
    </row>
    <row r="22" spans="1:6" ht="30" x14ac:dyDescent="0.25">
      <c r="A22" s="217" t="str">
        <f t="shared" si="1"/>
        <v>SINAPI-C-92405</v>
      </c>
      <c r="B22" s="218" t="s">
        <v>11</v>
      </c>
      <c r="C22" s="218">
        <v>92405</v>
      </c>
      <c r="D22" s="217" t="s">
        <v>225</v>
      </c>
      <c r="E22" s="218" t="s">
        <v>7</v>
      </c>
      <c r="F22" s="254">
        <v>69.98</v>
      </c>
    </row>
    <row r="23" spans="1:6" x14ac:dyDescent="0.25">
      <c r="A23" s="217" t="str">
        <f t="shared" ref="A23:A24" si="2">CONCATENATE(B23&amp;"-"&amp;C23)</f>
        <v>SINAPI-C-93358</v>
      </c>
      <c r="B23" s="218" t="s">
        <v>11</v>
      </c>
      <c r="C23" s="218">
        <v>93358</v>
      </c>
      <c r="D23" s="217" t="s">
        <v>211</v>
      </c>
      <c r="E23" s="218" t="s">
        <v>9</v>
      </c>
      <c r="F23" s="254">
        <v>74.53</v>
      </c>
    </row>
    <row r="24" spans="1:6" ht="30" x14ac:dyDescent="0.25">
      <c r="A24" s="217" t="str">
        <f t="shared" si="2"/>
        <v>SINAPI-C-94273</v>
      </c>
      <c r="B24" s="218" t="s">
        <v>11</v>
      </c>
      <c r="C24" s="218">
        <v>94273</v>
      </c>
      <c r="D24" s="217" t="s">
        <v>210</v>
      </c>
      <c r="E24" s="218" t="s">
        <v>33</v>
      </c>
      <c r="F24" s="254">
        <v>50.11</v>
      </c>
    </row>
    <row r="25" spans="1:6" ht="30" x14ac:dyDescent="0.25">
      <c r="A25" s="217" t="str">
        <f t="shared" ref="A25" si="3">CONCATENATE(B25&amp;"-"&amp;C25)</f>
        <v>SINAPI-C-94275</v>
      </c>
      <c r="B25" s="218" t="s">
        <v>11</v>
      </c>
      <c r="C25" s="218">
        <v>94275</v>
      </c>
      <c r="D25" s="217" t="s">
        <v>228</v>
      </c>
      <c r="E25" s="218" t="s">
        <v>33</v>
      </c>
      <c r="F25" s="254">
        <v>48.12</v>
      </c>
    </row>
    <row r="26" spans="1:6" x14ac:dyDescent="0.25">
      <c r="A26" s="217" t="str">
        <f t="shared" ref="A26:A27" si="4">CONCATENATE(B26&amp;"-"&amp;C26)</f>
        <v>SINAPI-C-88256</v>
      </c>
      <c r="B26" s="218" t="s">
        <v>11</v>
      </c>
      <c r="C26" s="218">
        <v>88256</v>
      </c>
      <c r="D26" s="217" t="s">
        <v>234</v>
      </c>
      <c r="E26" s="218" t="s">
        <v>10</v>
      </c>
      <c r="F26" s="254">
        <v>22.7</v>
      </c>
    </row>
    <row r="27" spans="1:6" x14ac:dyDescent="0.25">
      <c r="A27" s="217" t="str">
        <f t="shared" si="4"/>
        <v>SINAPI-I-34357</v>
      </c>
      <c r="B27" s="218" t="s">
        <v>12</v>
      </c>
      <c r="C27" s="218">
        <v>34357</v>
      </c>
      <c r="D27" s="217" t="s">
        <v>235</v>
      </c>
      <c r="E27" s="218" t="s">
        <v>236</v>
      </c>
      <c r="F27" s="254">
        <v>3.64</v>
      </c>
    </row>
    <row r="28" spans="1:6" x14ac:dyDescent="0.25">
      <c r="A28" s="217" t="str">
        <f>CONCATENATE(B28&amp;"-"&amp;C28)</f>
        <v>SINAPI-I-38135</v>
      </c>
      <c r="B28" s="218" t="s">
        <v>12</v>
      </c>
      <c r="C28" s="218">
        <v>38135</v>
      </c>
      <c r="D28" s="217" t="s">
        <v>250</v>
      </c>
      <c r="E28" s="218" t="s">
        <v>7</v>
      </c>
      <c r="F28" s="254">
        <v>123.61</v>
      </c>
    </row>
    <row r="29" spans="1:6" x14ac:dyDescent="0.25">
      <c r="A29" s="217" t="str">
        <f>CONCATENATE(B29&amp;"-"&amp;C29)</f>
        <v>SINAPI-I-34353</v>
      </c>
      <c r="B29" s="218" t="s">
        <v>12</v>
      </c>
      <c r="C29" s="218">
        <v>34353</v>
      </c>
      <c r="D29" s="217" t="s">
        <v>237</v>
      </c>
      <c r="E29" s="218" t="s">
        <v>236</v>
      </c>
      <c r="F29" s="254">
        <v>1.1499999999999999</v>
      </c>
    </row>
    <row r="30" spans="1:6" x14ac:dyDescent="0.25">
      <c r="A30" s="217" t="str">
        <f t="shared" ref="A30:A38" si="5">CONCATENATE(B30&amp;"-"&amp;C30)</f>
        <v>CP-4</v>
      </c>
      <c r="B30" s="218" t="s">
        <v>172</v>
      </c>
      <c r="C30" s="218">
        <v>4</v>
      </c>
      <c r="D30" s="217" t="s">
        <v>241</v>
      </c>
      <c r="E30" s="218" t="s">
        <v>7</v>
      </c>
      <c r="F30" s="254">
        <f>'CP04'!J22</f>
        <v>398.11</v>
      </c>
    </row>
    <row r="31" spans="1:6" x14ac:dyDescent="0.25">
      <c r="A31" s="217" t="str">
        <f t="shared" si="5"/>
        <v>SINAPI-C-88262</v>
      </c>
      <c r="B31" s="218" t="s">
        <v>11</v>
      </c>
      <c r="C31" s="218">
        <v>88262</v>
      </c>
      <c r="D31" s="217" t="s">
        <v>242</v>
      </c>
      <c r="E31" s="218" t="s">
        <v>10</v>
      </c>
      <c r="F31" s="254">
        <v>22.53</v>
      </c>
    </row>
    <row r="32" spans="1:6" x14ac:dyDescent="0.25">
      <c r="A32" s="217" t="str">
        <f t="shared" si="5"/>
        <v>SINAPI-I-4417</v>
      </c>
      <c r="B32" s="218" t="s">
        <v>12</v>
      </c>
      <c r="C32" s="218">
        <v>4417</v>
      </c>
      <c r="D32" s="217" t="s">
        <v>243</v>
      </c>
      <c r="E32" s="218" t="s">
        <v>33</v>
      </c>
      <c r="F32" s="254">
        <v>4.32</v>
      </c>
    </row>
    <row r="33" spans="1:6" x14ac:dyDescent="0.25">
      <c r="A33" s="217" t="str">
        <f t="shared" si="5"/>
        <v>SINAPI-I-4491</v>
      </c>
      <c r="B33" s="218" t="s">
        <v>12</v>
      </c>
      <c r="C33" s="218">
        <v>4491</v>
      </c>
      <c r="D33" s="217" t="s">
        <v>291</v>
      </c>
      <c r="E33" s="218" t="s">
        <v>33</v>
      </c>
      <c r="F33" s="254">
        <v>6.25</v>
      </c>
    </row>
    <row r="34" spans="1:6" x14ac:dyDescent="0.25">
      <c r="A34" s="217" t="str">
        <f t="shared" si="5"/>
        <v>SINAPI-I-5075</v>
      </c>
      <c r="B34" s="218" t="s">
        <v>12</v>
      </c>
      <c r="C34" s="218">
        <v>5075</v>
      </c>
      <c r="D34" s="217" t="s">
        <v>244</v>
      </c>
      <c r="E34" s="218" t="s">
        <v>236</v>
      </c>
      <c r="F34" s="254">
        <v>20.73</v>
      </c>
    </row>
    <row r="35" spans="1:6" x14ac:dyDescent="0.25">
      <c r="A35" s="217" t="str">
        <f t="shared" si="5"/>
        <v>SINAPI-C-94962</v>
      </c>
      <c r="B35" s="218" t="s">
        <v>11</v>
      </c>
      <c r="C35" s="218">
        <v>94962</v>
      </c>
      <c r="D35" s="217" t="s">
        <v>245</v>
      </c>
      <c r="E35" s="218" t="s">
        <v>9</v>
      </c>
      <c r="F35" s="254">
        <v>322.58</v>
      </c>
    </row>
    <row r="36" spans="1:6" x14ac:dyDescent="0.25">
      <c r="A36" s="217" t="str">
        <f t="shared" si="5"/>
        <v>SINAPI-I-4813</v>
      </c>
      <c r="B36" s="218" t="s">
        <v>12</v>
      </c>
      <c r="C36" s="218">
        <v>4813</v>
      </c>
      <c r="D36" s="217" t="s">
        <v>246</v>
      </c>
      <c r="E36" s="218" t="s">
        <v>7</v>
      </c>
      <c r="F36" s="254">
        <v>225</v>
      </c>
    </row>
    <row r="37" spans="1:6" x14ac:dyDescent="0.25">
      <c r="A37" s="217" t="str">
        <f t="shared" si="5"/>
        <v>SINAPI-I-10777</v>
      </c>
      <c r="B37" s="218" t="s">
        <v>12</v>
      </c>
      <c r="C37" s="218">
        <v>10777</v>
      </c>
      <c r="D37" s="217" t="s">
        <v>247</v>
      </c>
      <c r="E37" s="218" t="s">
        <v>183</v>
      </c>
      <c r="F37" s="254">
        <v>840.2</v>
      </c>
    </row>
    <row r="38" spans="1:6" ht="24.95" customHeight="1" x14ac:dyDescent="0.25">
      <c r="A38" s="217" t="str">
        <f t="shared" si="5"/>
        <v>SINAPI-C-99064</v>
      </c>
      <c r="B38" s="218" t="s">
        <v>11</v>
      </c>
      <c r="C38" s="218">
        <v>99064</v>
      </c>
      <c r="D38" s="217" t="s">
        <v>248</v>
      </c>
      <c r="E38" s="218" t="s">
        <v>33</v>
      </c>
      <c r="F38" s="254">
        <v>0.54</v>
      </c>
    </row>
    <row r="39" spans="1:6" x14ac:dyDescent="0.25">
      <c r="A39" s="219" t="str">
        <f t="shared" ref="A39:A40" si="6">CONCATENATE(B39&amp;"-"&amp;C39)</f>
        <v>SINAPI-I-13521</v>
      </c>
      <c r="B39" s="220" t="s">
        <v>12</v>
      </c>
      <c r="C39" s="220">
        <v>13521</v>
      </c>
      <c r="D39" s="219" t="s">
        <v>255</v>
      </c>
      <c r="E39" s="220" t="s">
        <v>8</v>
      </c>
      <c r="F39" s="256">
        <v>74.25</v>
      </c>
    </row>
    <row r="40" spans="1:6" x14ac:dyDescent="0.25">
      <c r="A40" s="217" t="str">
        <f t="shared" si="6"/>
        <v>CP-2</v>
      </c>
      <c r="B40" s="218" t="s">
        <v>172</v>
      </c>
      <c r="C40" s="218">
        <v>2</v>
      </c>
      <c r="D40" s="217" t="s">
        <v>255</v>
      </c>
      <c r="E40" s="218" t="s">
        <v>8</v>
      </c>
      <c r="F40" s="254">
        <f>'CP02'!J17</f>
        <v>107.88</v>
      </c>
    </row>
    <row r="41" spans="1:6" x14ac:dyDescent="0.25">
      <c r="A41" s="217" t="str">
        <f t="shared" ref="A41" si="7">CONCATENATE(B41&amp;"-"&amp;C41)</f>
        <v>SINAPI-I-390</v>
      </c>
      <c r="B41" s="218" t="s">
        <v>12</v>
      </c>
      <c r="C41" s="218">
        <v>390</v>
      </c>
      <c r="D41" s="217" t="s">
        <v>277</v>
      </c>
      <c r="E41" s="218" t="s">
        <v>33</v>
      </c>
      <c r="F41" s="254">
        <v>9.67</v>
      </c>
    </row>
    <row r="42" spans="1:6" ht="30" x14ac:dyDescent="0.25">
      <c r="A42" s="217" t="str">
        <f t="shared" ref="A42" si="8">CONCATENATE(B42&amp;"-"&amp;C42)</f>
        <v>SINAPI-C-97935</v>
      </c>
      <c r="B42" s="218" t="s">
        <v>11</v>
      </c>
      <c r="C42" s="218">
        <v>97935</v>
      </c>
      <c r="D42" s="217" t="s">
        <v>294</v>
      </c>
      <c r="E42" s="218" t="s">
        <v>8</v>
      </c>
      <c r="F42" s="254">
        <v>743.23</v>
      </c>
    </row>
    <row r="43" spans="1:6" ht="30" x14ac:dyDescent="0.25">
      <c r="A43" s="217" t="str">
        <f t="shared" ref="A43:A44" si="9">CONCATENATE(B43&amp;"-"&amp;C43)</f>
        <v>SINAPI-C-96396</v>
      </c>
      <c r="B43" s="218" t="s">
        <v>11</v>
      </c>
      <c r="C43" s="218">
        <v>96396</v>
      </c>
      <c r="D43" s="217" t="s">
        <v>295</v>
      </c>
      <c r="E43" s="218" t="s">
        <v>9</v>
      </c>
      <c r="F43" s="254">
        <v>110.09</v>
      </c>
    </row>
    <row r="44" spans="1:6" x14ac:dyDescent="0.25">
      <c r="A44" s="217" t="str">
        <f t="shared" si="9"/>
        <v>SINAPI-C-96995</v>
      </c>
      <c r="B44" s="218" t="s">
        <v>11</v>
      </c>
      <c r="C44" s="93">
        <v>96995</v>
      </c>
      <c r="D44" s="83" t="s">
        <v>305</v>
      </c>
      <c r="E44" s="93" t="s">
        <v>9</v>
      </c>
      <c r="F44" s="254">
        <v>45.18</v>
      </c>
    </row>
  </sheetData>
  <sortState xmlns:xlrd2="http://schemas.microsoft.com/office/spreadsheetml/2017/richdata2" ref="A10:F113">
    <sortCondition ref="B10:B113"/>
    <sortCondition ref="C10:C113"/>
  </sortState>
  <mergeCells count="6">
    <mergeCell ref="B1:H1"/>
    <mergeCell ref="B6:C7"/>
    <mergeCell ref="D6:D7"/>
    <mergeCell ref="E6:E7"/>
    <mergeCell ref="B3:H3"/>
    <mergeCell ref="B4:H4"/>
  </mergeCells>
  <pageMargins left="0.98425196850393704" right="0.39370078740157483" top="0.78740157480314965" bottom="0.78740157480314965" header="0" footer="0"/>
  <pageSetup paperSize="9" scale="67" orientation="portrait" cellComments="asDisplayed" horizontalDpi="4294967293" verticalDpi="4294967293" r:id="rId1"/>
  <headerFooter>
    <oddFooter>&amp;LPREFEITURA MUNICIPAL DE LINDOLFO COLLOR, RS&amp;RPágina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33"/>
  <sheetViews>
    <sheetView view="pageBreakPreview" zoomScaleSheetLayoutView="100" zoomScalePageLayoutView="40" workbookViewId="0">
      <selection activeCell="A3" sqref="A3:J3"/>
    </sheetView>
  </sheetViews>
  <sheetFormatPr defaultColWidth="9.140625" defaultRowHeight="20.100000000000001" customHeight="1" x14ac:dyDescent="0.25"/>
  <cols>
    <col min="1" max="1" width="9" style="90" customWidth="1"/>
    <col min="2" max="2" width="48.140625" style="158" customWidth="1"/>
    <col min="3" max="3" width="16.5703125" style="90" customWidth="1"/>
    <col min="4" max="4" width="10.42578125" style="90" customWidth="1"/>
    <col min="5" max="5" width="15.7109375" style="90" customWidth="1"/>
    <col min="6" max="6" width="12.7109375" style="90" customWidth="1"/>
    <col min="7" max="7" width="15.7109375" style="90" customWidth="1"/>
    <col min="8" max="8" width="12.7109375" style="90" customWidth="1"/>
    <col min="9" max="9" width="15.7109375" style="90" customWidth="1"/>
    <col min="10" max="10" width="12.7109375" style="90" customWidth="1"/>
    <col min="11" max="11" width="13.28515625" style="156" customWidth="1"/>
    <col min="12" max="12" width="13.140625" style="156" customWidth="1"/>
    <col min="13" max="13" width="16.28515625" style="156" customWidth="1"/>
    <col min="14" max="14" width="14.28515625" style="156" bestFit="1" customWidth="1"/>
    <col min="15" max="15" width="10.140625" style="156" bestFit="1" customWidth="1"/>
    <col min="16" max="16384" width="9.140625" style="156"/>
  </cols>
  <sheetData>
    <row r="1" spans="1:15" ht="30.75" customHeight="1" thickBot="1" x14ac:dyDescent="0.3">
      <c r="A1" s="439" t="s">
        <v>226</v>
      </c>
      <c r="B1" s="439"/>
      <c r="C1" s="439"/>
      <c r="D1" s="439"/>
      <c r="E1" s="439"/>
      <c r="F1" s="439"/>
      <c r="G1" s="439"/>
      <c r="H1" s="439"/>
      <c r="I1" s="439"/>
      <c r="J1" s="439"/>
    </row>
    <row r="2" spans="1:15" ht="18" customHeight="1" thickTop="1" thickBot="1" x14ac:dyDescent="0.3">
      <c r="A2" s="157"/>
      <c r="B2" s="157"/>
      <c r="C2" s="157"/>
      <c r="D2" s="157"/>
      <c r="E2" s="157"/>
      <c r="F2" s="157"/>
      <c r="G2" s="157"/>
      <c r="H2" s="157"/>
      <c r="I2" s="157"/>
      <c r="J2" s="157"/>
    </row>
    <row r="3" spans="1:15" ht="27.75" customHeight="1" x14ac:dyDescent="0.25">
      <c r="A3" s="436" t="str">
        <f>Orc!A3</f>
        <v>PROJETO EXECUTIVO DE PAVIMENTAÇÃO URBANA, SINALIZAÇÃO VIÁRIA E ACESSIBILIDADE</v>
      </c>
      <c r="B3" s="437"/>
      <c r="C3" s="437"/>
      <c r="D3" s="437"/>
      <c r="E3" s="437"/>
      <c r="F3" s="437"/>
      <c r="G3" s="437"/>
      <c r="H3" s="437"/>
      <c r="I3" s="437"/>
      <c r="J3" s="438"/>
    </row>
    <row r="4" spans="1:15" ht="27.75" customHeight="1" thickBot="1" x14ac:dyDescent="0.3">
      <c r="A4" s="433" t="str">
        <f>Orc!A4</f>
        <v>RUA BENNO JOHAN HEINLE - EXTENSÃO 125,00 m  - BAIRRO INDUSTRIAL - LINDOLFO COLLOR, RS</v>
      </c>
      <c r="B4" s="434"/>
      <c r="C4" s="434"/>
      <c r="D4" s="434"/>
      <c r="E4" s="434"/>
      <c r="F4" s="434"/>
      <c r="G4" s="434"/>
      <c r="H4" s="434"/>
      <c r="I4" s="434"/>
      <c r="J4" s="435"/>
    </row>
    <row r="5" spans="1:15" ht="18" customHeight="1" thickBot="1" x14ac:dyDescent="0.3">
      <c r="A5" s="157"/>
      <c r="B5" s="157"/>
      <c r="C5" s="157"/>
      <c r="D5" s="157"/>
      <c r="E5" s="157"/>
      <c r="F5" s="157"/>
      <c r="G5" s="157"/>
      <c r="H5" s="157"/>
      <c r="I5" s="157"/>
      <c r="J5" s="157"/>
      <c r="K5" s="162"/>
      <c r="L5" s="162"/>
      <c r="M5" s="162"/>
    </row>
    <row r="6" spans="1:15" s="98" customFormat="1" ht="18" customHeight="1" thickBot="1" x14ac:dyDescent="0.3">
      <c r="A6" s="440" t="s">
        <v>0</v>
      </c>
      <c r="B6" s="442" t="s">
        <v>2</v>
      </c>
      <c r="C6" s="327" t="s">
        <v>352</v>
      </c>
      <c r="D6" s="440" t="s">
        <v>196</v>
      </c>
      <c r="E6" s="444" t="s">
        <v>440</v>
      </c>
      <c r="F6" s="445"/>
      <c r="G6" s="444" t="s">
        <v>441</v>
      </c>
      <c r="H6" s="445"/>
      <c r="I6" s="444" t="s">
        <v>252</v>
      </c>
      <c r="J6" s="445"/>
    </row>
    <row r="7" spans="1:15" ht="18" customHeight="1" thickBot="1" x14ac:dyDescent="0.3">
      <c r="A7" s="441"/>
      <c r="B7" s="443"/>
      <c r="C7" s="328" t="s">
        <v>6</v>
      </c>
      <c r="D7" s="441"/>
      <c r="E7" s="329" t="s">
        <v>253</v>
      </c>
      <c r="F7" s="330" t="s">
        <v>28</v>
      </c>
      <c r="G7" s="331" t="s">
        <v>253</v>
      </c>
      <c r="H7" s="332" t="s">
        <v>254</v>
      </c>
      <c r="I7" s="333" t="s">
        <v>253</v>
      </c>
      <c r="J7" s="334" t="s">
        <v>254</v>
      </c>
      <c r="N7" s="176"/>
    </row>
    <row r="8" spans="1:15" ht="18" customHeight="1" thickBot="1" x14ac:dyDescent="0.3">
      <c r="A8" s="157"/>
      <c r="B8" s="157"/>
      <c r="C8" s="157"/>
      <c r="D8" s="157"/>
      <c r="E8" s="157"/>
      <c r="F8" s="157"/>
      <c r="G8" s="157"/>
      <c r="H8" s="157"/>
      <c r="I8" s="157"/>
      <c r="J8" s="157"/>
      <c r="N8" s="176"/>
    </row>
    <row r="9" spans="1:15" ht="18" customHeight="1" x14ac:dyDescent="0.25">
      <c r="A9" s="335">
        <f>Orc!A9</f>
        <v>1</v>
      </c>
      <c r="B9" s="293" t="str">
        <f>Orc!D9</f>
        <v xml:space="preserve">SERVIÇOS INICIAIS </v>
      </c>
      <c r="C9" s="294">
        <f>Orc!I12</f>
        <v>0</v>
      </c>
      <c r="D9" s="295" t="e">
        <f>C9/$C$20</f>
        <v>#DIV/0!</v>
      </c>
      <c r="E9" s="296">
        <f>F9*C9</f>
        <v>0</v>
      </c>
      <c r="F9" s="297">
        <v>1</v>
      </c>
      <c r="G9" s="322"/>
      <c r="H9" s="323"/>
      <c r="I9" s="298">
        <f>E9+G9</f>
        <v>0</v>
      </c>
      <c r="J9" s="299">
        <f>F9+H9</f>
        <v>1</v>
      </c>
    </row>
    <row r="10" spans="1:15" ht="18" customHeight="1" x14ac:dyDescent="0.25">
      <c r="A10" s="336">
        <v>2</v>
      </c>
      <c r="B10" s="300" t="str">
        <f>Orc!D14</f>
        <v>ADMINISTRAÇÃO LOCAL</v>
      </c>
      <c r="C10" s="301">
        <f>Orc!I16</f>
        <v>0</v>
      </c>
      <c r="D10" s="302" t="e">
        <f t="shared" ref="D10:D20" si="0">C10/$C$20</f>
        <v>#DIV/0!</v>
      </c>
      <c r="E10" s="303">
        <f>C10*F10</f>
        <v>0</v>
      </c>
      <c r="F10" s="304">
        <v>0.3</v>
      </c>
      <c r="G10" s="324">
        <f>C10*H10</f>
        <v>0</v>
      </c>
      <c r="H10" s="325">
        <v>0.7</v>
      </c>
      <c r="I10" s="305">
        <f t="shared" ref="I10:I20" si="1">E10+G10</f>
        <v>0</v>
      </c>
      <c r="J10" s="306">
        <f t="shared" ref="J10:J20" si="2">F10+H10</f>
        <v>1</v>
      </c>
    </row>
    <row r="11" spans="1:15" ht="18" customHeight="1" x14ac:dyDescent="0.25">
      <c r="A11" s="336">
        <v>3</v>
      </c>
      <c r="B11" s="300" t="str">
        <f>Orc!D18</f>
        <v>PISTA DE ROLAMENTO</v>
      </c>
      <c r="C11" s="301"/>
      <c r="D11" s="302"/>
      <c r="E11" s="307"/>
      <c r="F11" s="304"/>
      <c r="G11" s="326"/>
      <c r="H11" s="325"/>
      <c r="I11" s="305"/>
      <c r="J11" s="306"/>
    </row>
    <row r="12" spans="1:15" ht="18" customHeight="1" x14ac:dyDescent="0.25">
      <c r="A12" s="337" t="s">
        <v>16</v>
      </c>
      <c r="B12" s="308" t="str">
        <f>Orc!D19</f>
        <v xml:space="preserve"> BASE </v>
      </c>
      <c r="C12" s="301">
        <f>Orc!I23</f>
        <v>0</v>
      </c>
      <c r="D12" s="302" t="e">
        <f t="shared" si="0"/>
        <v>#DIV/0!</v>
      </c>
      <c r="E12" s="303">
        <f>C12*F12</f>
        <v>0</v>
      </c>
      <c r="F12" s="304">
        <v>1</v>
      </c>
      <c r="G12" s="324"/>
      <c r="H12" s="325"/>
      <c r="I12" s="305">
        <f t="shared" si="1"/>
        <v>0</v>
      </c>
      <c r="J12" s="306">
        <f t="shared" si="2"/>
        <v>1</v>
      </c>
    </row>
    <row r="13" spans="1:15" ht="18" customHeight="1" x14ac:dyDescent="0.25">
      <c r="A13" s="337" t="s">
        <v>17</v>
      </c>
      <c r="B13" s="308" t="str">
        <f>VLOOKUP(A13,Orc!A:D,4,FALSE)</f>
        <v>MEIO-FIO DE CONCRETO PRÉ-MOLDADO</v>
      </c>
      <c r="C13" s="301">
        <f>Orc!I27</f>
        <v>0</v>
      </c>
      <c r="D13" s="302" t="e">
        <f t="shared" si="0"/>
        <v>#DIV/0!</v>
      </c>
      <c r="E13" s="303">
        <f>C13*F13</f>
        <v>0</v>
      </c>
      <c r="F13" s="304">
        <v>1</v>
      </c>
      <c r="G13" s="326"/>
      <c r="H13" s="325"/>
      <c r="I13" s="305">
        <f t="shared" si="1"/>
        <v>0</v>
      </c>
      <c r="J13" s="306">
        <f t="shared" si="2"/>
        <v>1</v>
      </c>
    </row>
    <row r="14" spans="1:15" ht="18" customHeight="1" x14ac:dyDescent="0.25">
      <c r="A14" s="337" t="s">
        <v>18</v>
      </c>
      <c r="B14" s="308" t="str">
        <f>VLOOKUP(A14,Orc!A:D,4,FALSE)</f>
        <v>PAVIMENTAÇÃO</v>
      </c>
      <c r="C14" s="301">
        <f>Orc!I33</f>
        <v>0</v>
      </c>
      <c r="D14" s="302" t="e">
        <f t="shared" si="0"/>
        <v>#DIV/0!</v>
      </c>
      <c r="E14" s="309"/>
      <c r="F14" s="304"/>
      <c r="G14" s="326">
        <f>C14*H14</f>
        <v>0</v>
      </c>
      <c r="H14" s="325">
        <v>1</v>
      </c>
      <c r="I14" s="305">
        <f t="shared" si="1"/>
        <v>0</v>
      </c>
      <c r="J14" s="306">
        <f t="shared" si="2"/>
        <v>1</v>
      </c>
      <c r="O14" s="231"/>
    </row>
    <row r="15" spans="1:15" ht="18" customHeight="1" x14ac:dyDescent="0.25">
      <c r="A15" s="336">
        <v>4</v>
      </c>
      <c r="B15" s="300" t="str">
        <f>VLOOKUP(A15,Orc!A:D,4,FALSE)</f>
        <v>PASSEIO PÚBLICO</v>
      </c>
      <c r="C15" s="301">
        <f>Orc!I43</f>
        <v>0</v>
      </c>
      <c r="D15" s="302" t="e">
        <f t="shared" si="0"/>
        <v>#DIV/0!</v>
      </c>
      <c r="E15" s="309"/>
      <c r="F15" s="304"/>
      <c r="G15" s="326">
        <f>C15*H15</f>
        <v>0</v>
      </c>
      <c r="H15" s="325">
        <v>1</v>
      </c>
      <c r="I15" s="305">
        <f t="shared" si="1"/>
        <v>0</v>
      </c>
      <c r="J15" s="306">
        <f t="shared" si="2"/>
        <v>1</v>
      </c>
    </row>
    <row r="16" spans="1:15" ht="18" customHeight="1" x14ac:dyDescent="0.25">
      <c r="A16" s="336">
        <v>5</v>
      </c>
      <c r="B16" s="300" t="str">
        <f>VLOOKUP(A16,Orc!A:D,4,FALSE)</f>
        <v>SINALIZAÇÃO VERTICAL</v>
      </c>
      <c r="C16" s="301">
        <f>Orc!I51</f>
        <v>0</v>
      </c>
      <c r="D16" s="302" t="e">
        <f t="shared" si="0"/>
        <v>#DIV/0!</v>
      </c>
      <c r="E16" s="309"/>
      <c r="F16" s="304"/>
      <c r="G16" s="326">
        <f t="shared" ref="G16:G18" si="3">C16*H16</f>
        <v>0</v>
      </c>
      <c r="H16" s="325">
        <v>1</v>
      </c>
      <c r="I16" s="305">
        <f t="shared" si="1"/>
        <v>0</v>
      </c>
      <c r="J16" s="306">
        <f t="shared" si="2"/>
        <v>1</v>
      </c>
    </row>
    <row r="17" spans="1:16" ht="18" customHeight="1" x14ac:dyDescent="0.25">
      <c r="A17" s="338">
        <v>6</v>
      </c>
      <c r="B17" s="310" t="str">
        <f>Orc!D53</f>
        <v>DRENAGEM</v>
      </c>
      <c r="C17" s="311">
        <f>Orc!I57</f>
        <v>0</v>
      </c>
      <c r="D17" s="302" t="e">
        <f t="shared" si="0"/>
        <v>#DIV/0!</v>
      </c>
      <c r="E17" s="312">
        <f>F17*C17</f>
        <v>0</v>
      </c>
      <c r="F17" s="319">
        <v>1</v>
      </c>
      <c r="G17" s="326"/>
      <c r="H17" s="325"/>
      <c r="I17" s="305">
        <f t="shared" si="1"/>
        <v>0</v>
      </c>
      <c r="J17" s="306">
        <f t="shared" si="2"/>
        <v>1</v>
      </c>
    </row>
    <row r="18" spans="1:16" ht="18" customHeight="1" thickBot="1" x14ac:dyDescent="0.3">
      <c r="A18" s="339">
        <v>7</v>
      </c>
      <c r="B18" s="313" t="str">
        <f>Orc!D59</f>
        <v>RAMPAS DE ACESSIBILIDADE</v>
      </c>
      <c r="C18" s="314">
        <f>Orc!I62</f>
        <v>0</v>
      </c>
      <c r="D18" s="315" t="e">
        <f t="shared" si="0"/>
        <v>#DIV/0!</v>
      </c>
      <c r="E18" s="316"/>
      <c r="F18" s="320"/>
      <c r="G18" s="380">
        <f t="shared" si="3"/>
        <v>0</v>
      </c>
      <c r="H18" s="381">
        <v>1</v>
      </c>
      <c r="I18" s="317">
        <f t="shared" si="1"/>
        <v>0</v>
      </c>
      <c r="J18" s="318">
        <f t="shared" si="2"/>
        <v>1</v>
      </c>
    </row>
    <row r="19" spans="1:16" ht="18" customHeight="1" thickBot="1" x14ac:dyDescent="0.3">
      <c r="A19" s="372"/>
      <c r="B19" s="373"/>
      <c r="C19" s="374"/>
      <c r="D19" s="375"/>
      <c r="E19" s="376"/>
      <c r="F19" s="377"/>
      <c r="G19" s="378"/>
      <c r="H19" s="377"/>
      <c r="I19" s="379"/>
      <c r="J19" s="375"/>
    </row>
    <row r="20" spans="1:16" ht="18" customHeight="1" thickBot="1" x14ac:dyDescent="0.3">
      <c r="A20" s="273"/>
      <c r="B20" s="275" t="s">
        <v>251</v>
      </c>
      <c r="C20" s="268">
        <f>SUM(C9:C18)</f>
        <v>0</v>
      </c>
      <c r="D20" s="270" t="e">
        <f t="shared" si="0"/>
        <v>#DIV/0!</v>
      </c>
      <c r="E20" s="268">
        <f>SUM(E9:E18)+0.003</f>
        <v>0</v>
      </c>
      <c r="F20" s="270" t="e">
        <f>E20/C20</f>
        <v>#DIV/0!</v>
      </c>
      <c r="G20" s="268">
        <f>SUM(G9:G18)</f>
        <v>0</v>
      </c>
      <c r="H20" s="269" t="e">
        <f>G20/C20</f>
        <v>#DIV/0!</v>
      </c>
      <c r="I20" s="277">
        <f t="shared" si="1"/>
        <v>0</v>
      </c>
      <c r="J20" s="272" t="e">
        <f t="shared" si="2"/>
        <v>#DIV/0!</v>
      </c>
    </row>
    <row r="21" spans="1:16" ht="18" customHeight="1" thickBot="1" x14ac:dyDescent="0.3">
      <c r="A21" s="266"/>
      <c r="B21" s="274"/>
      <c r="C21" s="267"/>
      <c r="D21" s="271"/>
      <c r="E21" s="279">
        <f>E20</f>
        <v>0</v>
      </c>
      <c r="F21" s="321" t="e">
        <f>F20</f>
        <v>#DIV/0!</v>
      </c>
      <c r="G21" s="279">
        <f>G20+E21</f>
        <v>0</v>
      </c>
      <c r="H21" s="280" t="e">
        <f>F21+H20</f>
        <v>#DIV/0!</v>
      </c>
      <c r="I21" s="278">
        <f>I20</f>
        <v>0</v>
      </c>
      <c r="J21" s="276"/>
      <c r="N21" s="176"/>
    </row>
    <row r="22" spans="1:16" ht="18" customHeight="1" x14ac:dyDescent="0.25">
      <c r="N22" s="176"/>
    </row>
    <row r="23" spans="1:16" ht="18" customHeight="1" x14ac:dyDescent="0.25">
      <c r="N23" s="176"/>
    </row>
    <row r="24" spans="1:16" ht="18" customHeight="1" x14ac:dyDescent="0.25">
      <c r="N24" s="176"/>
    </row>
    <row r="25" spans="1:16" ht="18" customHeight="1" x14ac:dyDescent="0.25">
      <c r="N25" s="176"/>
    </row>
    <row r="26" spans="1:16" ht="18" customHeight="1" x14ac:dyDescent="0.25">
      <c r="B26" s="88"/>
      <c r="C26" s="446"/>
      <c r="D26" s="447"/>
      <c r="E26" s="447"/>
      <c r="F26" s="447"/>
      <c r="G26" s="93"/>
      <c r="H26" s="93"/>
      <c r="I26" s="448"/>
      <c r="J26" s="448"/>
    </row>
    <row r="27" spans="1:16" ht="18" customHeight="1" x14ac:dyDescent="0.25">
      <c r="B27" s="98"/>
      <c r="C27" s="399" t="s">
        <v>328</v>
      </c>
      <c r="D27" s="399"/>
      <c r="E27" s="399"/>
      <c r="F27" s="399"/>
      <c r="G27" s="197"/>
      <c r="H27" s="197"/>
      <c r="I27" s="399"/>
      <c r="J27" s="399"/>
    </row>
    <row r="28" spans="1:16" ht="18" customHeight="1" x14ac:dyDescent="0.25">
      <c r="B28" s="156"/>
      <c r="C28" s="399" t="s">
        <v>329</v>
      </c>
      <c r="D28" s="399"/>
      <c r="E28" s="399"/>
      <c r="F28" s="399"/>
      <c r="G28" s="197"/>
      <c r="H28" s="197"/>
      <c r="I28" s="399"/>
      <c r="J28" s="399"/>
      <c r="K28" s="159"/>
    </row>
    <row r="29" spans="1:16" ht="20.100000000000001" customHeight="1" x14ac:dyDescent="0.25">
      <c r="B29" s="156"/>
      <c r="C29" s="156"/>
      <c r="E29" s="156"/>
      <c r="F29" s="156"/>
      <c r="G29" s="156"/>
      <c r="H29" s="156"/>
      <c r="I29" s="98"/>
      <c r="J29" s="98"/>
      <c r="L29" s="159"/>
    </row>
    <row r="30" spans="1:16" ht="20.100000000000001" customHeight="1" x14ac:dyDescent="0.25">
      <c r="B30" s="156"/>
      <c r="C30" s="156"/>
      <c r="D30" s="156"/>
      <c r="E30" s="156"/>
      <c r="F30" s="156"/>
      <c r="G30" s="156"/>
      <c r="H30" s="156"/>
      <c r="I30" s="156"/>
      <c r="J30" s="156"/>
    </row>
    <row r="31" spans="1:16" ht="20.100000000000001" customHeight="1" x14ac:dyDescent="0.25">
      <c r="B31" s="156"/>
      <c r="C31" s="156"/>
      <c r="D31" s="98"/>
      <c r="E31" s="178"/>
    </row>
    <row r="32" spans="1:16" s="90" customFormat="1" ht="20.100000000000001" customHeight="1" x14ac:dyDescent="0.25">
      <c r="B32" s="156"/>
      <c r="C32" s="156"/>
      <c r="D32" s="98"/>
      <c r="L32" s="156"/>
      <c r="O32" s="156"/>
      <c r="P32" s="156"/>
    </row>
    <row r="33" spans="2:16" s="90" customFormat="1" ht="20.100000000000001" customHeight="1" x14ac:dyDescent="0.25">
      <c r="B33" s="156"/>
      <c r="C33" s="156"/>
      <c r="D33" s="98"/>
      <c r="L33" s="156"/>
      <c r="O33" s="156"/>
      <c r="P33" s="156"/>
    </row>
  </sheetData>
  <sheetProtection selectLockedCells="1"/>
  <mergeCells count="15">
    <mergeCell ref="C26:F26"/>
    <mergeCell ref="C27:F27"/>
    <mergeCell ref="C28:F28"/>
    <mergeCell ref="I26:J26"/>
    <mergeCell ref="I27:J27"/>
    <mergeCell ref="I28:J28"/>
    <mergeCell ref="A4:J4"/>
    <mergeCell ref="A3:J3"/>
    <mergeCell ref="A1:J1"/>
    <mergeCell ref="A6:A7"/>
    <mergeCell ref="B6:B7"/>
    <mergeCell ref="D6:D7"/>
    <mergeCell ref="E6:F6"/>
    <mergeCell ref="G6:H6"/>
    <mergeCell ref="I6:J6"/>
  </mergeCells>
  <pageMargins left="0.98425196850393704" right="0.39370078740157483" top="0.78740157480314965" bottom="0.78740157480314965" header="0" footer="0"/>
  <pageSetup paperSize="9" scale="71" fitToHeight="0" orientation="landscape" cellComments="asDisplayed" r:id="rId1"/>
  <headerFooter>
    <oddHeader>&amp;C&amp;G</oddHeader>
  </headerFooter>
  <colBreaks count="1" manualBreakCount="1">
    <brk id="10" max="26"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view="pageBreakPreview" topLeftCell="A4" zoomScaleSheetLayoutView="100" zoomScalePageLayoutView="40" workbookViewId="0">
      <selection activeCell="E23" sqref="E23"/>
    </sheetView>
  </sheetViews>
  <sheetFormatPr defaultColWidth="9.140625" defaultRowHeight="20.100000000000001" customHeight="1" x14ac:dyDescent="0.25"/>
  <cols>
    <col min="1" max="1" width="8.7109375" style="6" customWidth="1"/>
    <col min="2" max="2" width="6.7109375" style="6" customWidth="1"/>
    <col min="3" max="3" width="40.7109375" style="6" customWidth="1"/>
    <col min="4" max="5" width="7.7109375" style="6" customWidth="1"/>
    <col min="6" max="6" width="9.7109375" style="6" customWidth="1"/>
    <col min="7" max="7" width="6.7109375" style="6" customWidth="1"/>
    <col min="8" max="8" width="9.7109375" style="6" customWidth="1"/>
    <col min="9" max="9" width="13.7109375" style="6" customWidth="1"/>
    <col min="10" max="10" width="16.7109375" style="6" customWidth="1"/>
    <col min="11" max="11" width="9.5703125" style="6" bestFit="1" customWidth="1"/>
    <col min="12" max="16384" width="9.140625" style="6"/>
  </cols>
  <sheetData>
    <row r="1" spans="1:11" s="93" customFormat="1" ht="20.100000000000001" customHeight="1" thickBot="1" x14ac:dyDescent="0.3">
      <c r="A1" s="418" t="s">
        <v>348</v>
      </c>
      <c r="B1" s="418"/>
      <c r="C1" s="418"/>
      <c r="D1" s="418"/>
      <c r="E1" s="418"/>
      <c r="F1" s="418"/>
      <c r="G1" s="418"/>
      <c r="H1" s="418"/>
      <c r="I1" s="418"/>
      <c r="J1" s="418"/>
    </row>
    <row r="2" spans="1:11" s="93" customFormat="1" ht="20.100000000000001" customHeight="1" thickTop="1" thickBot="1" x14ac:dyDescent="0.3"/>
    <row r="3" spans="1:11" s="93" customFormat="1" ht="20.100000000000001" customHeight="1" x14ac:dyDescent="0.25">
      <c r="A3" s="419" t="str">
        <f>Orc!A3</f>
        <v>PROJETO EXECUTIVO DE PAVIMENTAÇÃO URBANA, SINALIZAÇÃO VIÁRIA E ACESSIBILIDADE</v>
      </c>
      <c r="B3" s="420"/>
      <c r="C3" s="420"/>
      <c r="D3" s="420"/>
      <c r="E3" s="420"/>
      <c r="F3" s="420"/>
      <c r="G3" s="420"/>
      <c r="H3" s="420"/>
      <c r="I3" s="420"/>
      <c r="J3" s="421"/>
    </row>
    <row r="4" spans="1:11" s="93" customFormat="1" ht="20.100000000000001" customHeight="1" thickBot="1" x14ac:dyDescent="0.3">
      <c r="A4" s="422" t="str">
        <f>Orc!A4</f>
        <v>RUA BENNO JOHAN HEINLE - EXTENSÃO 125,00 m  - BAIRRO INDUSTRIAL - LINDOLFO COLLOR, RS</v>
      </c>
      <c r="B4" s="423"/>
      <c r="C4" s="423"/>
      <c r="D4" s="423"/>
      <c r="E4" s="423"/>
      <c r="F4" s="423"/>
      <c r="G4" s="423"/>
      <c r="H4" s="423"/>
      <c r="I4" s="423"/>
      <c r="J4" s="424"/>
    </row>
    <row r="5" spans="1:11" s="93" customFormat="1" ht="20.100000000000001" customHeight="1" x14ac:dyDescent="0.25"/>
    <row r="6" spans="1:11" ht="20.100000000000001" customHeight="1" x14ac:dyDescent="0.25">
      <c r="A6" s="425" t="s">
        <v>23</v>
      </c>
      <c r="B6" s="426"/>
      <c r="C6" s="130" t="s">
        <v>187</v>
      </c>
      <c r="D6" s="131"/>
      <c r="E6" s="131"/>
      <c r="F6" s="132"/>
      <c r="G6" s="132" t="s">
        <v>24</v>
      </c>
      <c r="H6" s="132" t="s">
        <v>186</v>
      </c>
      <c r="I6" s="128" t="s">
        <v>184</v>
      </c>
      <c r="J6" s="129" t="s">
        <v>185</v>
      </c>
    </row>
    <row r="7" spans="1:11" ht="30" x14ac:dyDescent="0.25">
      <c r="A7" s="96" t="s">
        <v>11</v>
      </c>
      <c r="B7" s="122">
        <v>90777</v>
      </c>
      <c r="C7" s="102" t="s">
        <v>338</v>
      </c>
      <c r="D7" s="137"/>
      <c r="E7" s="137"/>
      <c r="F7" s="137"/>
      <c r="G7" s="137" t="s">
        <v>10</v>
      </c>
      <c r="H7" s="137">
        <f>D9*E9*F9</f>
        <v>20</v>
      </c>
      <c r="I7" s="139">
        <v>128.96</v>
      </c>
      <c r="J7" s="140">
        <f>ROUNDUP(H7*I7,2)</f>
        <v>2579.1999999999998</v>
      </c>
    </row>
    <row r="8" spans="1:11" ht="20.100000000000001" customHeight="1" x14ac:dyDescent="0.25">
      <c r="A8" s="96"/>
      <c r="B8" s="122"/>
      <c r="C8" s="102" t="s">
        <v>192</v>
      </c>
      <c r="D8" s="137" t="s">
        <v>189</v>
      </c>
      <c r="E8" s="137" t="s">
        <v>190</v>
      </c>
      <c r="F8" s="137" t="s">
        <v>443</v>
      </c>
      <c r="G8" s="137"/>
      <c r="H8" s="137"/>
      <c r="I8" s="139"/>
      <c r="J8" s="140"/>
      <c r="K8" s="148"/>
    </row>
    <row r="9" spans="1:11" ht="20.100000000000001" customHeight="1" x14ac:dyDescent="0.25">
      <c r="A9" s="96"/>
      <c r="B9" s="122"/>
      <c r="C9" s="102" t="s">
        <v>442</v>
      </c>
      <c r="D9" s="137">
        <v>0.5</v>
      </c>
      <c r="E9" s="137">
        <v>20</v>
      </c>
      <c r="F9" s="137">
        <v>2</v>
      </c>
      <c r="G9" s="137"/>
      <c r="H9" s="137"/>
      <c r="I9" s="139"/>
      <c r="J9" s="140"/>
    </row>
    <row r="10" spans="1:11" ht="20.100000000000001" customHeight="1" x14ac:dyDescent="0.25">
      <c r="A10" s="96"/>
      <c r="B10" s="122"/>
      <c r="C10" s="102"/>
      <c r="D10" s="137"/>
      <c r="E10" s="137"/>
      <c r="F10" s="137"/>
      <c r="G10" s="137"/>
      <c r="H10" s="137"/>
      <c r="I10" s="139"/>
      <c r="J10" s="140"/>
    </row>
    <row r="11" spans="1:11" ht="30" x14ac:dyDescent="0.25">
      <c r="A11" s="96" t="s">
        <v>11</v>
      </c>
      <c r="B11" s="122">
        <v>90780</v>
      </c>
      <c r="C11" s="102" t="str">
        <f>VLOOKUP(CONCATENATE(A11&amp;"-"&amp;B11),R_Preço!$A$8:$F$449,4,FALSE)</f>
        <v>Mestre de obras com encargos complementares</v>
      </c>
      <c r="D11" s="137"/>
      <c r="E11" s="137"/>
      <c r="F11" s="137"/>
      <c r="G11" s="137" t="str">
        <f>VLOOKUP(CONCATENATE(A11&amp;"-"&amp;B11),R_Preço!$A$8:$F$449,5,FALSE)</f>
        <v>h</v>
      </c>
      <c r="H11" s="137">
        <f>D13*E13*F13</f>
        <v>40</v>
      </c>
      <c r="I11" s="139">
        <f>VLOOKUP(CONCATENATE(A11&amp;"-"&amp;B11),R_Preço!$A$8:$F$449,6,FALSE)</f>
        <v>72.099999999999994</v>
      </c>
      <c r="J11" s="140">
        <f>ROUNDUP(H11*I11,2)</f>
        <v>2884</v>
      </c>
    </row>
    <row r="12" spans="1:11" ht="20.100000000000001" customHeight="1" x14ac:dyDescent="0.25">
      <c r="A12" s="96"/>
      <c r="B12" s="122"/>
      <c r="C12" s="102" t="s">
        <v>192</v>
      </c>
      <c r="D12" s="137" t="s">
        <v>189</v>
      </c>
      <c r="E12" s="137" t="s">
        <v>190</v>
      </c>
      <c r="F12" s="137" t="s">
        <v>443</v>
      </c>
      <c r="G12" s="137"/>
      <c r="H12" s="137"/>
      <c r="I12" s="139"/>
      <c r="J12" s="140"/>
    </row>
    <row r="13" spans="1:11" ht="20.100000000000001" customHeight="1" x14ac:dyDescent="0.25">
      <c r="A13" s="96"/>
      <c r="B13" s="122"/>
      <c r="C13" s="102" t="s">
        <v>442</v>
      </c>
      <c r="D13" s="137">
        <v>1</v>
      </c>
      <c r="E13" s="137">
        <v>20</v>
      </c>
      <c r="F13" s="137">
        <v>2</v>
      </c>
      <c r="G13" s="137"/>
      <c r="H13" s="137"/>
      <c r="I13" s="139"/>
      <c r="J13" s="140"/>
    </row>
    <row r="14" spans="1:11" ht="20.100000000000001" customHeight="1" x14ac:dyDescent="0.25">
      <c r="A14" s="96"/>
      <c r="B14" s="122"/>
      <c r="C14" s="150"/>
      <c r="D14" s="137"/>
      <c r="E14" s="137"/>
      <c r="F14" s="137"/>
      <c r="G14" s="137"/>
      <c r="H14" s="137"/>
      <c r="I14" s="139"/>
      <c r="J14" s="140"/>
    </row>
    <row r="15" spans="1:11" ht="20.100000000000001" customHeight="1" x14ac:dyDescent="0.25">
      <c r="C15" s="123" t="s">
        <v>193</v>
      </c>
      <c r="D15" s="126"/>
      <c r="E15" s="126"/>
      <c r="F15" s="126"/>
      <c r="G15" s="126"/>
      <c r="H15" s="126"/>
      <c r="I15" s="136"/>
      <c r="J15" s="141">
        <f>SUM(J7:J14)</f>
        <v>5463.2</v>
      </c>
    </row>
    <row r="16" spans="1:11" ht="20.100000000000001" customHeight="1" x14ac:dyDescent="0.25">
      <c r="D16" s="13"/>
      <c r="E16" s="13"/>
      <c r="F16" s="13"/>
      <c r="G16" s="13"/>
      <c r="H16" s="13"/>
      <c r="I16" s="13"/>
      <c r="J16" s="13"/>
    </row>
    <row r="17" spans="1:11" ht="20.100000000000001" customHeight="1" x14ac:dyDescent="0.25">
      <c r="A17" s="3"/>
      <c r="B17" s="3"/>
      <c r="C17" s="123" t="s">
        <v>182</v>
      </c>
      <c r="D17" s="138"/>
      <c r="E17" s="138"/>
      <c r="F17" s="138"/>
      <c r="G17" s="138"/>
      <c r="H17" s="138"/>
      <c r="I17" s="138"/>
      <c r="J17" s="145">
        <f>J15</f>
        <v>5463.2</v>
      </c>
      <c r="K17" s="13"/>
    </row>
    <row r="18" spans="1:11" ht="20.100000000000001" customHeight="1" x14ac:dyDescent="0.25">
      <c r="A18" s="3"/>
      <c r="B18" s="3"/>
      <c r="C18" s="3"/>
      <c r="D18" s="3"/>
      <c r="E18" s="3"/>
      <c r="F18" s="3"/>
      <c r="G18" s="3"/>
      <c r="H18" s="143"/>
      <c r="I18" s="144" t="s">
        <v>181</v>
      </c>
      <c r="J18" s="146" t="s">
        <v>28</v>
      </c>
      <c r="K18" s="13"/>
    </row>
    <row r="19" spans="1:11" ht="20.100000000000001" customHeight="1" x14ac:dyDescent="0.25">
      <c r="C19" s="417"/>
      <c r="D19" s="417"/>
      <c r="E19" s="417"/>
      <c r="F19" s="417"/>
      <c r="G19" s="417"/>
      <c r="H19" s="417"/>
      <c r="I19" s="417"/>
      <c r="J19" s="417"/>
    </row>
  </sheetData>
  <mergeCells count="5">
    <mergeCell ref="C19:J19"/>
    <mergeCell ref="A1:J1"/>
    <mergeCell ref="A3:J3"/>
    <mergeCell ref="A4:J4"/>
    <mergeCell ref="A6:B6"/>
  </mergeCells>
  <pageMargins left="0.98425196850393704" right="0.39370078740157483" top="0.78740157480314965" bottom="0.78740157480314965" header="0" footer="0"/>
  <pageSetup paperSize="9" scale="80" orientation="landscape" cellComments="asDisplayed"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18"/>
  <sheetViews>
    <sheetView workbookViewId="0">
      <selection activeCell="C19" sqref="C19:C20"/>
    </sheetView>
  </sheetViews>
  <sheetFormatPr defaultRowHeight="15" x14ac:dyDescent="0.25"/>
  <cols>
    <col min="3" max="3" width="75.7109375" customWidth="1"/>
    <col min="9" max="9" width="10.28515625" customWidth="1"/>
    <col min="10" max="10" width="10.7109375" customWidth="1"/>
  </cols>
  <sheetData>
    <row r="2" spans="1:10" ht="15.75" thickBot="1" x14ac:dyDescent="0.3">
      <c r="A2" s="418" t="s">
        <v>349</v>
      </c>
      <c r="B2" s="418"/>
      <c r="C2" s="418"/>
      <c r="D2" s="418"/>
      <c r="E2" s="418"/>
      <c r="F2" s="418"/>
      <c r="G2" s="418"/>
      <c r="H2" s="418"/>
      <c r="I2" s="418"/>
      <c r="J2" s="418"/>
    </row>
    <row r="3" spans="1:10" ht="16.5" thickTop="1" thickBot="1" x14ac:dyDescent="0.3">
      <c r="A3" s="93"/>
      <c r="B3" s="93"/>
      <c r="C3" s="93"/>
      <c r="D3" s="93"/>
      <c r="E3" s="93"/>
      <c r="F3" s="93"/>
      <c r="G3" s="93"/>
      <c r="H3" s="93"/>
      <c r="I3" s="93"/>
      <c r="J3" s="93"/>
    </row>
    <row r="4" spans="1:10" x14ac:dyDescent="0.25">
      <c r="A4" s="419" t="s">
        <v>290</v>
      </c>
      <c r="B4" s="420"/>
      <c r="C4" s="420"/>
      <c r="D4" s="420"/>
      <c r="E4" s="420"/>
      <c r="F4" s="420"/>
      <c r="G4" s="420"/>
      <c r="H4" s="420"/>
      <c r="I4" s="420"/>
      <c r="J4" s="421"/>
    </row>
    <row r="5" spans="1:10" ht="15.75" thickBot="1" x14ac:dyDescent="0.3">
      <c r="A5" s="422" t="str">
        <f>Orc!A4</f>
        <v>RUA BENNO JOHAN HEINLE - EXTENSÃO 125,00 m  - BAIRRO INDUSTRIAL - LINDOLFO COLLOR, RS</v>
      </c>
      <c r="B5" s="423"/>
      <c r="C5" s="423"/>
      <c r="D5" s="423"/>
      <c r="E5" s="423"/>
      <c r="F5" s="423"/>
      <c r="G5" s="423"/>
      <c r="H5" s="423"/>
      <c r="I5" s="423"/>
      <c r="J5" s="424"/>
    </row>
    <row r="6" spans="1:10" x14ac:dyDescent="0.25">
      <c r="A6" s="93"/>
      <c r="B6" s="93"/>
      <c r="C6" s="93"/>
      <c r="D6" s="93"/>
      <c r="E6" s="93"/>
      <c r="F6" s="93"/>
      <c r="G6" s="93"/>
      <c r="H6" s="93"/>
      <c r="I6" s="93"/>
      <c r="J6" s="93"/>
    </row>
    <row r="7" spans="1:10" x14ac:dyDescent="0.25">
      <c r="A7" s="427" t="s">
        <v>23</v>
      </c>
      <c r="B7" s="428"/>
      <c r="C7" s="120" t="s">
        <v>187</v>
      </c>
      <c r="D7" s="128"/>
      <c r="E7" s="128"/>
      <c r="F7" s="128"/>
      <c r="G7" s="128" t="s">
        <v>24</v>
      </c>
      <c r="H7" s="128" t="s">
        <v>186</v>
      </c>
      <c r="I7" s="128" t="s">
        <v>184</v>
      </c>
      <c r="J7" s="129" t="s">
        <v>185</v>
      </c>
    </row>
    <row r="8" spans="1:10" x14ac:dyDescent="0.25">
      <c r="A8" s="96" t="s">
        <v>11</v>
      </c>
      <c r="B8" s="122">
        <v>88316</v>
      </c>
      <c r="C8" s="102" t="str">
        <f>VLOOKUP(CONCATENATE(A8&amp;"-"&amp;B8),R_Preço!$A$8:$F$530,4,FALSE)</f>
        <v>Servente com encargos complementares</v>
      </c>
      <c r="D8" s="122"/>
      <c r="E8" s="137"/>
      <c r="F8" s="137"/>
      <c r="G8" s="122" t="str">
        <f>VLOOKUP(CONCATENATE(A8&amp;"-"&amp;B8),R_Preço!$A$8:$F$530,5,FALSE)</f>
        <v>h</v>
      </c>
      <c r="H8" s="137">
        <v>0.25</v>
      </c>
      <c r="I8" s="147">
        <v>23.26</v>
      </c>
      <c r="J8" s="149">
        <f>ROUNDUP(H8*I8,2)</f>
        <v>5.82</v>
      </c>
    </row>
    <row r="9" spans="1:10" x14ac:dyDescent="0.25">
      <c r="A9" s="192"/>
      <c r="B9" s="193"/>
      <c r="C9" s="199"/>
      <c r="D9" s="193"/>
      <c r="E9" s="194"/>
      <c r="F9" s="194"/>
      <c r="G9" s="193"/>
      <c r="H9" s="194"/>
      <c r="I9" s="195"/>
      <c r="J9" s="196"/>
    </row>
    <row r="10" spans="1:10" x14ac:dyDescent="0.25">
      <c r="A10" s="6"/>
      <c r="B10" s="6"/>
      <c r="C10" s="134" t="s">
        <v>230</v>
      </c>
      <c r="D10" s="127"/>
      <c r="E10" s="127"/>
      <c r="F10" s="127"/>
      <c r="G10" s="127"/>
      <c r="H10" s="135"/>
      <c r="I10" s="135"/>
      <c r="J10" s="142">
        <f>SUM(J8:J8)</f>
        <v>5.82</v>
      </c>
    </row>
    <row r="11" spans="1:10" x14ac:dyDescent="0.25">
      <c r="A11" s="6"/>
      <c r="B11" s="6"/>
      <c r="C11" s="6"/>
      <c r="D11" s="13"/>
      <c r="E11" s="13"/>
      <c r="F11" s="13"/>
      <c r="G11" s="13"/>
      <c r="H11" s="13"/>
      <c r="I11" s="13"/>
      <c r="J11" s="13"/>
    </row>
    <row r="12" spans="1:10" x14ac:dyDescent="0.25">
      <c r="A12" s="425" t="s">
        <v>23</v>
      </c>
      <c r="B12" s="426"/>
      <c r="C12" s="130" t="s">
        <v>231</v>
      </c>
      <c r="D12" s="131"/>
      <c r="E12" s="131"/>
      <c r="F12" s="132"/>
      <c r="G12" s="132" t="s">
        <v>24</v>
      </c>
      <c r="H12" s="132" t="s">
        <v>186</v>
      </c>
      <c r="I12" s="132" t="s">
        <v>184</v>
      </c>
      <c r="J12" s="133" t="s">
        <v>185</v>
      </c>
    </row>
    <row r="13" spans="1:10" x14ac:dyDescent="0.25">
      <c r="A13" s="96" t="s">
        <v>12</v>
      </c>
      <c r="B13" s="122">
        <v>13521</v>
      </c>
      <c r="C13" s="102" t="str">
        <f>VLOOKUP(CONCATENATE(A13&amp;"-"&amp;B13),R_Preço!$A$8:$F$530,4,FALSE)</f>
        <v>Placa aço esmaltado - identificação de rua - 45 x 20 cm</v>
      </c>
      <c r="D13" s="122"/>
      <c r="E13" s="137"/>
      <c r="F13" s="137"/>
      <c r="G13" s="122" t="str">
        <f>VLOOKUP(CONCATENATE(A13&amp;"-"&amp;B13),R_Preço!$A$8:$F$530,5,FALSE)</f>
        <v>unid</v>
      </c>
      <c r="H13" s="137">
        <v>1</v>
      </c>
      <c r="I13" s="147">
        <f>VLOOKUP(CONCATENATE(A13&amp;"-"&amp;B13),R_Preço!$A$8:$F$530,6,FALSE)</f>
        <v>74.25</v>
      </c>
      <c r="J13" s="149">
        <f>ROUNDUP(H13*I13,2)</f>
        <v>74.25</v>
      </c>
    </row>
    <row r="14" spans="1:10" x14ac:dyDescent="0.25">
      <c r="A14" s="192" t="s">
        <v>12</v>
      </c>
      <c r="B14" s="193">
        <v>390</v>
      </c>
      <c r="C14" s="244" t="s">
        <v>336</v>
      </c>
      <c r="D14" s="193"/>
      <c r="E14" s="194"/>
      <c r="F14" s="194"/>
      <c r="G14" s="193" t="str">
        <f>VLOOKUP(CONCATENATE(A14&amp;"-"&amp;B14),R_Preço!$A$8:$F$530,5,FALSE)</f>
        <v>m</v>
      </c>
      <c r="H14" s="194">
        <v>3</v>
      </c>
      <c r="I14" s="195">
        <v>9.27</v>
      </c>
      <c r="J14" s="196">
        <f>ROUNDUP(H14*I14,2)</f>
        <v>27.81</v>
      </c>
    </row>
    <row r="15" spans="1:10" x14ac:dyDescent="0.25">
      <c r="A15" s="6"/>
      <c r="B15" s="6"/>
      <c r="C15" s="123" t="s">
        <v>232</v>
      </c>
      <c r="D15" s="126"/>
      <c r="E15" s="126"/>
      <c r="F15" s="126"/>
      <c r="G15" s="126"/>
      <c r="H15" s="126"/>
      <c r="I15" s="136"/>
      <c r="J15" s="141">
        <f>SUM(J13:J14)</f>
        <v>102.06</v>
      </c>
    </row>
    <row r="16" spans="1:10" x14ac:dyDescent="0.25">
      <c r="A16" s="6"/>
      <c r="B16" s="6"/>
      <c r="C16" s="6"/>
      <c r="D16" s="13"/>
      <c r="E16" s="13"/>
      <c r="F16" s="13"/>
      <c r="G16" s="13"/>
      <c r="H16" s="13"/>
      <c r="I16" s="13"/>
      <c r="J16" s="13"/>
    </row>
    <row r="17" spans="1:10" x14ac:dyDescent="0.25">
      <c r="A17" s="3"/>
      <c r="B17" s="3"/>
      <c r="C17" s="123" t="s">
        <v>182</v>
      </c>
      <c r="D17" s="138"/>
      <c r="E17" s="138"/>
      <c r="F17" s="138"/>
      <c r="G17" s="138"/>
      <c r="H17" s="138"/>
      <c r="I17" s="138"/>
      <c r="J17" s="145">
        <f>SUM(J10,J15)</f>
        <v>107.88</v>
      </c>
    </row>
    <row r="18" spans="1:10" x14ac:dyDescent="0.25">
      <c r="A18" s="3"/>
      <c r="B18" s="3"/>
      <c r="C18" s="3"/>
      <c r="D18" s="3"/>
      <c r="E18" s="3"/>
      <c r="F18" s="3"/>
      <c r="G18" s="3"/>
      <c r="H18" s="143"/>
      <c r="I18" s="144" t="s">
        <v>181</v>
      </c>
      <c r="J18" s="146" t="s">
        <v>8</v>
      </c>
    </row>
  </sheetData>
  <mergeCells count="5">
    <mergeCell ref="A2:J2"/>
    <mergeCell ref="A4:J4"/>
    <mergeCell ref="A5:J5"/>
    <mergeCell ref="A7:B7"/>
    <mergeCell ref="A12:B12"/>
  </mergeCells>
  <pageMargins left="0.51181102362204722" right="0.51181102362204722" top="0.78740157480314965" bottom="0.78740157480314965"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0"/>
  <sheetViews>
    <sheetView view="pageBreakPreview" zoomScaleSheetLayoutView="100" zoomScalePageLayoutView="40" workbookViewId="0">
      <selection activeCell="C9" sqref="C9"/>
    </sheetView>
  </sheetViews>
  <sheetFormatPr defaultColWidth="9.140625" defaultRowHeight="20.100000000000001" customHeight="1" x14ac:dyDescent="0.25"/>
  <cols>
    <col min="1" max="1" width="8.7109375" style="6" customWidth="1"/>
    <col min="2" max="2" width="6.7109375" style="6" customWidth="1"/>
    <col min="3" max="3" width="40.7109375" style="6" customWidth="1"/>
    <col min="4" max="5" width="7.7109375" style="6" customWidth="1"/>
    <col min="6" max="6" width="9.7109375" style="6" customWidth="1"/>
    <col min="7" max="7" width="6.7109375" style="6" customWidth="1"/>
    <col min="8" max="8" width="9.7109375" style="6" customWidth="1"/>
    <col min="9" max="9" width="12.7109375" style="6" customWidth="1"/>
    <col min="10" max="10" width="16.7109375" style="6" customWidth="1"/>
    <col min="11" max="16384" width="9.140625" style="6"/>
  </cols>
  <sheetData>
    <row r="1" spans="1:10" s="93" customFormat="1" ht="20.100000000000001" customHeight="1" thickBot="1" x14ac:dyDescent="0.3">
      <c r="A1" s="418" t="s">
        <v>350</v>
      </c>
      <c r="B1" s="418"/>
      <c r="C1" s="418"/>
      <c r="D1" s="418"/>
      <c r="E1" s="418"/>
      <c r="F1" s="418"/>
      <c r="G1" s="418"/>
      <c r="H1" s="418"/>
      <c r="I1" s="418"/>
      <c r="J1" s="418"/>
    </row>
    <row r="2" spans="1:10" s="93" customFormat="1" ht="20.100000000000001" customHeight="1" thickTop="1" thickBot="1" x14ac:dyDescent="0.3"/>
    <row r="3" spans="1:10" s="93" customFormat="1" ht="20.100000000000001" customHeight="1" x14ac:dyDescent="0.25">
      <c r="A3" s="419" t="s">
        <v>290</v>
      </c>
      <c r="B3" s="420"/>
      <c r="C3" s="420"/>
      <c r="D3" s="420"/>
      <c r="E3" s="420"/>
      <c r="F3" s="420"/>
      <c r="G3" s="420"/>
      <c r="H3" s="420"/>
      <c r="I3" s="420"/>
      <c r="J3" s="421"/>
    </row>
    <row r="4" spans="1:10" s="93" customFormat="1" ht="20.100000000000001" customHeight="1" thickBot="1" x14ac:dyDescent="0.3">
      <c r="A4" s="422" t="str">
        <f>Orc!A4</f>
        <v>RUA BENNO JOHAN HEINLE - EXTENSÃO 125,00 m  - BAIRRO INDUSTRIAL - LINDOLFO COLLOR, RS</v>
      </c>
      <c r="B4" s="423"/>
      <c r="C4" s="423"/>
      <c r="D4" s="423"/>
      <c r="E4" s="423"/>
      <c r="F4" s="423"/>
      <c r="G4" s="423"/>
      <c r="H4" s="423"/>
      <c r="I4" s="423"/>
      <c r="J4" s="424"/>
    </row>
    <row r="5" spans="1:10" s="93" customFormat="1" ht="20.100000000000001" customHeight="1" x14ac:dyDescent="0.25"/>
    <row r="6" spans="1:10" ht="20.100000000000001" customHeight="1" x14ac:dyDescent="0.25">
      <c r="A6" s="427" t="s">
        <v>23</v>
      </c>
      <c r="B6" s="428"/>
      <c r="C6" s="120" t="s">
        <v>187</v>
      </c>
      <c r="D6" s="128"/>
      <c r="E6" s="128"/>
      <c r="F6" s="128"/>
      <c r="G6" s="128" t="s">
        <v>24</v>
      </c>
      <c r="H6" s="128" t="s">
        <v>186</v>
      </c>
      <c r="I6" s="128" t="s">
        <v>184</v>
      </c>
      <c r="J6" s="129" t="s">
        <v>185</v>
      </c>
    </row>
    <row r="7" spans="1:10" ht="20.100000000000001" customHeight="1" x14ac:dyDescent="0.25">
      <c r="A7" s="96" t="s">
        <v>11</v>
      </c>
      <c r="B7" s="122">
        <v>88256</v>
      </c>
      <c r="C7" s="102" t="str">
        <f>VLOOKUP(CONCATENATE(A7&amp;"-"&amp;B7),R_Preço!$A$8:$F$530,4,FALSE)</f>
        <v>Ladrilhista com encargos complementares</v>
      </c>
      <c r="D7" s="122"/>
      <c r="E7" s="137"/>
      <c r="F7" s="122"/>
      <c r="G7" s="122" t="str">
        <f>VLOOKUP(CONCATENATE(A7&amp;"-"&amp;B7),R_Preço!$A$8:$F$530,5,FALSE)</f>
        <v>h</v>
      </c>
      <c r="H7" s="137">
        <v>0.3</v>
      </c>
      <c r="I7" s="147">
        <v>27.93</v>
      </c>
      <c r="J7" s="149">
        <f>ROUNDUP(H7*I7,2)</f>
        <v>8.3800000000000008</v>
      </c>
    </row>
    <row r="8" spans="1:10" ht="20.100000000000001" customHeight="1" x14ac:dyDescent="0.25">
      <c r="A8" s="96" t="s">
        <v>11</v>
      </c>
      <c r="B8" s="122">
        <v>88316</v>
      </c>
      <c r="C8" s="102" t="str">
        <f>VLOOKUP(CONCATENATE(A8&amp;"-"&amp;B8),R_Preço!$A$8:$F$530,4,FALSE)</f>
        <v>Servente com encargos complementares</v>
      </c>
      <c r="D8" s="122"/>
      <c r="E8" s="137"/>
      <c r="F8" s="137"/>
      <c r="G8" s="122" t="str">
        <f>VLOOKUP(CONCATENATE(A8&amp;"-"&amp;B8),R_Preço!$A$8:$F$530,5,FALSE)</f>
        <v>h</v>
      </c>
      <c r="H8" s="137">
        <v>1.3</v>
      </c>
      <c r="I8" s="147">
        <v>23.26</v>
      </c>
      <c r="J8" s="149">
        <f>ROUNDUP(H8*I8,2)</f>
        <v>30.24</v>
      </c>
    </row>
    <row r="9" spans="1:10" ht="20.100000000000001" customHeight="1" x14ac:dyDescent="0.25">
      <c r="A9" s="192"/>
      <c r="B9" s="193"/>
      <c r="C9" s="199"/>
      <c r="D9" s="193"/>
      <c r="E9" s="194"/>
      <c r="F9" s="194"/>
      <c r="G9" s="193"/>
      <c r="H9" s="194"/>
      <c r="I9" s="195"/>
      <c r="J9" s="196"/>
    </row>
    <row r="10" spans="1:10" ht="20.100000000000001" customHeight="1" x14ac:dyDescent="0.25">
      <c r="C10" s="134" t="s">
        <v>230</v>
      </c>
      <c r="D10" s="127"/>
      <c r="E10" s="127"/>
      <c r="F10" s="127"/>
      <c r="G10" s="127"/>
      <c r="H10" s="135"/>
      <c r="I10" s="135"/>
      <c r="J10" s="142">
        <f>SUM(J7:J8)</f>
        <v>38.619999999999997</v>
      </c>
    </row>
    <row r="11" spans="1:10" ht="20.100000000000001" customHeight="1" x14ac:dyDescent="0.25">
      <c r="D11" s="13"/>
      <c r="E11" s="13"/>
      <c r="F11" s="13"/>
      <c r="G11" s="13"/>
      <c r="H11" s="13"/>
      <c r="I11" s="13"/>
      <c r="J11" s="13"/>
    </row>
    <row r="12" spans="1:10" ht="20.100000000000001" customHeight="1" x14ac:dyDescent="0.25">
      <c r="A12" s="425" t="s">
        <v>23</v>
      </c>
      <c r="B12" s="426"/>
      <c r="C12" s="130" t="s">
        <v>231</v>
      </c>
      <c r="D12" s="131"/>
      <c r="E12" s="131"/>
      <c r="F12" s="132"/>
      <c r="G12" s="132" t="s">
        <v>24</v>
      </c>
      <c r="H12" s="132" t="s">
        <v>186</v>
      </c>
      <c r="I12" s="132" t="s">
        <v>184</v>
      </c>
      <c r="J12" s="133" t="s">
        <v>185</v>
      </c>
    </row>
    <row r="13" spans="1:10" ht="20.100000000000001" customHeight="1" x14ac:dyDescent="0.25">
      <c r="A13" s="96" t="s">
        <v>12</v>
      </c>
      <c r="B13" s="122">
        <v>34353</v>
      </c>
      <c r="C13" s="102" t="str">
        <f>VLOOKUP(CONCATENATE(A13&amp;"-"&amp;B13),R_Preço!$A$8:$F$530,4,FALSE)</f>
        <v>Argamassa colante AC-2</v>
      </c>
      <c r="D13" s="137"/>
      <c r="E13" s="137"/>
      <c r="F13" s="137"/>
      <c r="G13" s="137" t="str">
        <f>VLOOKUP(CONCATENATE(A13&amp;"-"&amp;B13),R_Preço!$A$8:$F$530,5,FALSE)</f>
        <v>kg</v>
      </c>
      <c r="H13" s="137">
        <v>4.8600000000000003</v>
      </c>
      <c r="I13" s="139">
        <v>1.56</v>
      </c>
      <c r="J13" s="140">
        <f>ROUNDUP(H13*I13,2)</f>
        <v>7.59</v>
      </c>
    </row>
    <row r="14" spans="1:10" ht="20.100000000000001" customHeight="1" x14ac:dyDescent="0.25">
      <c r="A14" s="96" t="s">
        <v>12</v>
      </c>
      <c r="B14" s="122">
        <v>34357</v>
      </c>
      <c r="C14" s="102" t="str">
        <f>VLOOKUP(CONCATENATE(A14&amp;"-"&amp;B14),R_Preço!$A$8:$F$530,4,FALSE)</f>
        <v>Rejunte cimentício</v>
      </c>
      <c r="D14" s="137"/>
      <c r="E14" s="137"/>
      <c r="F14" s="137"/>
      <c r="G14" s="137" t="str">
        <f>VLOOKUP(CONCATENATE(A14&amp;"-"&amp;B14),R_Preço!$A$8:$F$530,5,FALSE)</f>
        <v>kg</v>
      </c>
      <c r="H14" s="137">
        <v>0.24</v>
      </c>
      <c r="I14" s="139">
        <v>4.93</v>
      </c>
      <c r="J14" s="140">
        <f>ROUNDUP(H14*I14,2)</f>
        <v>1.19</v>
      </c>
    </row>
    <row r="15" spans="1:10" ht="30" x14ac:dyDescent="0.25">
      <c r="A15" s="96" t="s">
        <v>12</v>
      </c>
      <c r="B15" s="122">
        <v>38135</v>
      </c>
      <c r="C15" s="102" t="str">
        <f>VLOOKUP(CONCATENATE(A15&amp;"-"&amp;B15),R_Preço!$A$8:$F$530,4,FALSE)</f>
        <v>Piso tátil, direcional e alerta - concreto 20x20x2,5 cm</v>
      </c>
      <c r="D15" s="137"/>
      <c r="E15" s="137"/>
      <c r="F15" s="137"/>
      <c r="G15" s="137" t="str">
        <f>VLOOKUP(CONCATENATE(A15&amp;"-"&amp;B15),R_Preço!$A$8:$F$530,5,FALSE)</f>
        <v>m²</v>
      </c>
      <c r="H15" s="137">
        <v>1.01</v>
      </c>
      <c r="I15" s="139">
        <v>119.74</v>
      </c>
      <c r="J15" s="140">
        <f>ROUNDUP(H15*I15,2)</f>
        <v>120.94</v>
      </c>
    </row>
    <row r="16" spans="1:10" ht="20.100000000000001" customHeight="1" x14ac:dyDescent="0.25">
      <c r="A16" s="96"/>
      <c r="B16" s="122"/>
      <c r="C16" s="150"/>
      <c r="D16" s="137"/>
      <c r="E16" s="137"/>
      <c r="F16" s="137"/>
      <c r="G16" s="137"/>
      <c r="H16" s="137"/>
      <c r="I16" s="139"/>
      <c r="J16" s="140"/>
    </row>
    <row r="17" spans="1:11" ht="20.100000000000001" customHeight="1" x14ac:dyDescent="0.25">
      <c r="C17" s="123" t="s">
        <v>232</v>
      </c>
      <c r="D17" s="126"/>
      <c r="E17" s="126"/>
      <c r="F17" s="126"/>
      <c r="G17" s="126"/>
      <c r="H17" s="126"/>
      <c r="I17" s="136"/>
      <c r="J17" s="141">
        <f>SUM(J13:J16)</f>
        <v>129.72</v>
      </c>
    </row>
    <row r="18" spans="1:11" ht="20.100000000000001" customHeight="1" x14ac:dyDescent="0.25">
      <c r="D18" s="13"/>
      <c r="E18" s="13"/>
      <c r="F18" s="13"/>
      <c r="G18" s="13"/>
      <c r="H18" s="13"/>
      <c r="I18" s="13"/>
      <c r="J18" s="13"/>
    </row>
    <row r="19" spans="1:11" ht="20.100000000000001" customHeight="1" x14ac:dyDescent="0.25">
      <c r="A19" s="3"/>
      <c r="B19" s="3"/>
      <c r="C19" s="123" t="s">
        <v>182</v>
      </c>
      <c r="D19" s="138"/>
      <c r="E19" s="138"/>
      <c r="F19" s="138"/>
      <c r="G19" s="138"/>
      <c r="H19" s="138"/>
      <c r="I19" s="138"/>
      <c r="J19" s="145">
        <f>SUM(J10,J17)</f>
        <v>168.34</v>
      </c>
      <c r="K19" s="13"/>
    </row>
    <row r="20" spans="1:11" ht="20.100000000000001" customHeight="1" x14ac:dyDescent="0.25">
      <c r="A20" s="3"/>
      <c r="B20" s="3"/>
      <c r="C20" s="3"/>
      <c r="D20" s="3"/>
      <c r="E20" s="3"/>
      <c r="F20" s="3"/>
      <c r="G20" s="3"/>
      <c r="H20" s="143"/>
      <c r="I20" s="144" t="s">
        <v>181</v>
      </c>
      <c r="J20" s="146" t="s">
        <v>7</v>
      </c>
      <c r="K20" s="13"/>
    </row>
  </sheetData>
  <mergeCells count="5">
    <mergeCell ref="A12:B12"/>
    <mergeCell ref="A1:J1"/>
    <mergeCell ref="A3:J3"/>
    <mergeCell ref="A4:J4"/>
    <mergeCell ref="A6:B6"/>
  </mergeCells>
  <pageMargins left="0.98425196850393704" right="0.39370078740157483" top="0.78740157480314965" bottom="0.78740157480314965" header="0" footer="0"/>
  <pageSetup paperSize="9" orientation="landscape" cellComments="asDisplayed"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J23"/>
  <sheetViews>
    <sheetView topLeftCell="A10" workbookViewId="0">
      <selection activeCell="C15" sqref="C15"/>
    </sheetView>
  </sheetViews>
  <sheetFormatPr defaultRowHeight="15" x14ac:dyDescent="0.25"/>
  <cols>
    <col min="3" max="3" width="73" customWidth="1"/>
    <col min="9" max="9" width="10.5703125" customWidth="1"/>
    <col min="10" max="10" width="10.85546875" customWidth="1"/>
  </cols>
  <sheetData>
    <row r="2" spans="1:10" ht="15.75" thickBot="1" x14ac:dyDescent="0.3">
      <c r="A2" s="418" t="s">
        <v>351</v>
      </c>
      <c r="B2" s="418"/>
      <c r="C2" s="418"/>
      <c r="D2" s="418"/>
      <c r="E2" s="418"/>
      <c r="F2" s="418"/>
      <c r="G2" s="418"/>
      <c r="H2" s="418"/>
      <c r="I2" s="418"/>
      <c r="J2" s="418"/>
    </row>
    <row r="3" spans="1:10" ht="16.5" thickTop="1" thickBot="1" x14ac:dyDescent="0.3">
      <c r="A3" s="93"/>
      <c r="B3" s="93"/>
      <c r="C3" s="93"/>
      <c r="D3" s="93"/>
      <c r="E3" s="93"/>
      <c r="F3" s="93"/>
      <c r="G3" s="93"/>
      <c r="H3" s="93"/>
      <c r="I3" s="93"/>
      <c r="J3" s="93"/>
    </row>
    <row r="4" spans="1:10" x14ac:dyDescent="0.25">
      <c r="A4" s="419" t="s">
        <v>290</v>
      </c>
      <c r="B4" s="420"/>
      <c r="C4" s="420"/>
      <c r="D4" s="420"/>
      <c r="E4" s="420"/>
      <c r="F4" s="420"/>
      <c r="G4" s="420"/>
      <c r="H4" s="420"/>
      <c r="I4" s="420"/>
      <c r="J4" s="421"/>
    </row>
    <row r="5" spans="1:10" ht="15.75" thickBot="1" x14ac:dyDescent="0.3">
      <c r="A5" s="422" t="str">
        <f>Orc!A4</f>
        <v>RUA BENNO JOHAN HEINLE - EXTENSÃO 125,00 m  - BAIRRO INDUSTRIAL - LINDOLFO COLLOR, RS</v>
      </c>
      <c r="B5" s="423"/>
      <c r="C5" s="423"/>
      <c r="D5" s="423"/>
      <c r="E5" s="423"/>
      <c r="F5" s="423"/>
      <c r="G5" s="423"/>
      <c r="H5" s="423"/>
      <c r="I5" s="423"/>
      <c r="J5" s="424"/>
    </row>
    <row r="6" spans="1:10" x14ac:dyDescent="0.25">
      <c r="A6" s="93"/>
      <c r="B6" s="93"/>
      <c r="C6" s="93"/>
      <c r="D6" s="93"/>
      <c r="E6" s="93"/>
      <c r="F6" s="93"/>
      <c r="G6" s="93"/>
      <c r="H6" s="93"/>
      <c r="I6" s="93"/>
      <c r="J6" s="93"/>
    </row>
    <row r="7" spans="1:10" x14ac:dyDescent="0.25">
      <c r="A7" s="427" t="s">
        <v>23</v>
      </c>
      <c r="B7" s="428"/>
      <c r="C7" s="120" t="s">
        <v>187</v>
      </c>
      <c r="D7" s="128"/>
      <c r="E7" s="128"/>
      <c r="F7" s="128"/>
      <c r="G7" s="128" t="s">
        <v>24</v>
      </c>
      <c r="H7" s="128" t="s">
        <v>186</v>
      </c>
      <c r="I7" s="128" t="s">
        <v>184</v>
      </c>
      <c r="J7" s="129" t="s">
        <v>185</v>
      </c>
    </row>
    <row r="8" spans="1:10" x14ac:dyDescent="0.25">
      <c r="A8" s="96" t="s">
        <v>11</v>
      </c>
      <c r="B8" s="122">
        <v>88262</v>
      </c>
      <c r="C8" s="102" t="str">
        <f>VLOOKUP(CONCATENATE(A8&amp;"-"&amp;B8),[3]R_Preço!$A$8:$F$552,4,FALSE)</f>
        <v>Carpinteiro de formas com encargos complementares</v>
      </c>
      <c r="D8" s="122"/>
      <c r="E8" s="137"/>
      <c r="F8" s="122"/>
      <c r="G8" s="122" t="str">
        <f>VLOOKUP(CONCATENATE(A8&amp;"-"&amp;B8),[3]R_Preço!$A$8:$F$552,5,FALSE)</f>
        <v>h</v>
      </c>
      <c r="H8" s="137">
        <v>1</v>
      </c>
      <c r="I8" s="147">
        <v>27.64</v>
      </c>
      <c r="J8" s="149">
        <f>ROUNDUP(H8*I8,2)</f>
        <v>27.64</v>
      </c>
    </row>
    <row r="9" spans="1:10" x14ac:dyDescent="0.25">
      <c r="A9" s="96" t="s">
        <v>11</v>
      </c>
      <c r="B9" s="122">
        <v>88316</v>
      </c>
      <c r="C9" s="102" t="str">
        <f>VLOOKUP(CONCATENATE(A9&amp;"-"&amp;B9),[3]R_Preço!$A$8:$F$552,4,FALSE)</f>
        <v>Servente com encargos complementares</v>
      </c>
      <c r="D9" s="122"/>
      <c r="E9" s="137"/>
      <c r="F9" s="137"/>
      <c r="G9" s="122" t="str">
        <f>VLOOKUP(CONCATENATE(A9&amp;"-"&amp;B9),[3]R_Preço!$A$8:$F$552,5,FALSE)</f>
        <v>h</v>
      </c>
      <c r="H9" s="137">
        <v>2</v>
      </c>
      <c r="I9" s="147">
        <v>23.26</v>
      </c>
      <c r="J9" s="149">
        <f>ROUNDUP(H9*I9,2)</f>
        <v>46.52</v>
      </c>
    </row>
    <row r="10" spans="1:10" x14ac:dyDescent="0.25">
      <c r="A10" s="96"/>
      <c r="B10" s="122"/>
      <c r="C10" s="429" t="s">
        <v>239</v>
      </c>
      <c r="D10" s="122"/>
      <c r="E10" s="137"/>
      <c r="F10" s="137"/>
      <c r="G10" s="122"/>
      <c r="H10" s="137"/>
      <c r="I10" s="147"/>
      <c r="J10" s="149"/>
    </row>
    <row r="11" spans="1:10" x14ac:dyDescent="0.25">
      <c r="A11" s="192"/>
      <c r="B11" s="193"/>
      <c r="C11" s="430"/>
      <c r="D11" s="193"/>
      <c r="E11" s="194"/>
      <c r="F11" s="194"/>
      <c r="G11" s="193"/>
      <c r="H11" s="194"/>
      <c r="I11" s="195"/>
      <c r="J11" s="196"/>
    </row>
    <row r="12" spans="1:10" x14ac:dyDescent="0.25">
      <c r="A12" s="6"/>
      <c r="B12" s="6"/>
      <c r="C12" s="134" t="s">
        <v>230</v>
      </c>
      <c r="D12" s="127"/>
      <c r="E12" s="127"/>
      <c r="F12" s="127"/>
      <c r="G12" s="127"/>
      <c r="H12" s="135"/>
      <c r="I12" s="135"/>
      <c r="J12" s="142">
        <f>SUM(J8:J9)</f>
        <v>74.16</v>
      </c>
    </row>
    <row r="13" spans="1:10" x14ac:dyDescent="0.25">
      <c r="A13" s="6"/>
      <c r="B13" s="6"/>
      <c r="C13" s="6"/>
      <c r="D13" s="13"/>
      <c r="E13" s="13"/>
      <c r="F13" s="13"/>
      <c r="G13" s="13"/>
      <c r="H13" s="13"/>
      <c r="I13" s="13"/>
      <c r="J13" s="13"/>
    </row>
    <row r="14" spans="1:10" x14ac:dyDescent="0.25">
      <c r="A14" s="425" t="s">
        <v>23</v>
      </c>
      <c r="B14" s="426"/>
      <c r="C14" s="130" t="s">
        <v>240</v>
      </c>
      <c r="D14" s="131"/>
      <c r="E14" s="131"/>
      <c r="F14" s="132"/>
      <c r="G14" s="132" t="s">
        <v>24</v>
      </c>
      <c r="H14" s="132" t="s">
        <v>186</v>
      </c>
      <c r="I14" s="132" t="s">
        <v>184</v>
      </c>
      <c r="J14" s="133" t="s">
        <v>185</v>
      </c>
    </row>
    <row r="15" spans="1:10" x14ac:dyDescent="0.25">
      <c r="A15" s="96" t="s">
        <v>12</v>
      </c>
      <c r="B15" s="122">
        <v>4417</v>
      </c>
      <c r="C15" s="102" t="str">
        <f>VLOOKUP(CONCATENATE(A15&amp;"-"&amp;B15),[3]R_Preço!$A$8:$F$552,4,FALSE)</f>
        <v>Sarrafo de madeira não aparelhada *2,5 X 7*  cm</v>
      </c>
      <c r="D15" s="137"/>
      <c r="E15" s="137"/>
      <c r="F15" s="137"/>
      <c r="G15" s="137" t="str">
        <f>VLOOKUP(CONCATENATE(A15&amp;"-"&amp;B15),[3]R_Preço!$A$8:$F$552,5,FALSE)</f>
        <v>m</v>
      </c>
      <c r="H15" s="137">
        <v>1</v>
      </c>
      <c r="I15" s="139">
        <v>5.54</v>
      </c>
      <c r="J15" s="140">
        <f>ROUNDUP(H15*I15,2)</f>
        <v>5.54</v>
      </c>
    </row>
    <row r="16" spans="1:10" x14ac:dyDescent="0.25">
      <c r="A16" s="96" t="s">
        <v>12</v>
      </c>
      <c r="B16" s="122">
        <v>4491</v>
      </c>
      <c r="C16" s="102" t="str">
        <f>VLOOKUP(CONCATENATE(A16&amp;"-"&amp;B16),[3]R_Preço!$A$8:$F$552,4,FALSE)</f>
        <v xml:space="preserve">Pontalete de madeira não aparelhadas *7,5 X 7,5* CM (3 X 3 ") </v>
      </c>
      <c r="D16" s="137"/>
      <c r="E16" s="137"/>
      <c r="F16" s="137"/>
      <c r="G16" s="137" t="str">
        <f>VLOOKUP(CONCATENATE(A16&amp;"-"&amp;B16),[3]R_Preço!$A$8:$F$552,5,FALSE)</f>
        <v>m</v>
      </c>
      <c r="H16" s="137">
        <v>4</v>
      </c>
      <c r="I16" s="139">
        <v>6.84</v>
      </c>
      <c r="J16" s="140">
        <f>ROUNDUP(H16*I16,2)</f>
        <v>27.36</v>
      </c>
    </row>
    <row r="17" spans="1:10" x14ac:dyDescent="0.25">
      <c r="A17" s="96" t="s">
        <v>12</v>
      </c>
      <c r="B17" s="122">
        <v>4813</v>
      </c>
      <c r="C17" s="102" t="str">
        <f>VLOOKUP(CONCATENATE(A17&amp;"-"&amp;B17),[3]R_Preço!$A$8:$F$552,4,FALSE)</f>
        <v>Placa de obra com chapa N. 22, adesivada</v>
      </c>
      <c r="D17" s="137"/>
      <c r="E17" s="137"/>
      <c r="F17" s="137"/>
      <c r="G17" s="137" t="str">
        <f>VLOOKUP(CONCATENATE(A17&amp;"-"&amp;B17),[3]R_Preço!$A$8:$F$552,5,FALSE)</f>
        <v>m²</v>
      </c>
      <c r="H17" s="137">
        <v>1</v>
      </c>
      <c r="I17" s="139">
        <v>285</v>
      </c>
      <c r="J17" s="140">
        <f>ROUNDUP(H17*I17,2)</f>
        <v>285</v>
      </c>
    </row>
    <row r="18" spans="1:10" x14ac:dyDescent="0.25">
      <c r="A18" s="96" t="s">
        <v>12</v>
      </c>
      <c r="B18" s="122">
        <v>5075</v>
      </c>
      <c r="C18" s="102" t="str">
        <f>VLOOKUP(CONCATENATE(A18&amp;"-"&amp;B18),[3]R_Preço!$A$8:$F$552,4,FALSE)</f>
        <v>Prego e aço polido com cabeça18 X 30 (2 3/4 X 10)</v>
      </c>
      <c r="D18" s="137"/>
      <c r="E18" s="137"/>
      <c r="F18" s="137"/>
      <c r="G18" s="137" t="str">
        <f>VLOOKUP(CONCATENATE(A18&amp;"-"&amp;B18),[3]R_Preço!$A$8:$F$552,5,FALSE)</f>
        <v>kg</v>
      </c>
      <c r="H18" s="137">
        <v>0.11</v>
      </c>
      <c r="I18" s="139">
        <v>15.87</v>
      </c>
      <c r="J18" s="140">
        <f>ROUNDUP(H18*I18,2)</f>
        <v>1.75</v>
      </c>
    </row>
    <row r="19" spans="1:10" x14ac:dyDescent="0.25">
      <c r="A19" s="96" t="s">
        <v>11</v>
      </c>
      <c r="B19" s="122">
        <v>94962</v>
      </c>
      <c r="C19" s="102" t="str">
        <f>VLOOKUP(CONCATENATE(A19&amp;"-"&amp;B19),[3]R_Preço!$A$8:$F$552,4,FALSE)</f>
        <v>Concreto magro - preparo em betoneira 400 ml</v>
      </c>
      <c r="D19" s="137"/>
      <c r="E19" s="137"/>
      <c r="F19" s="137"/>
      <c r="G19" s="137" t="str">
        <f>VLOOKUP(CONCATENATE(A19&amp;"-"&amp;B19),[3]R_Preço!$A$8:$F$552,5,FALSE)</f>
        <v>m³</v>
      </c>
      <c r="H19" s="137">
        <v>0.01</v>
      </c>
      <c r="I19" s="139">
        <v>429.87</v>
      </c>
      <c r="J19" s="140">
        <f>ROUNDUP(H19*I19,2)</f>
        <v>4.3</v>
      </c>
    </row>
    <row r="20" spans="1:10" x14ac:dyDescent="0.25">
      <c r="A20" s="6"/>
      <c r="B20" s="6"/>
      <c r="C20" s="123" t="s">
        <v>232</v>
      </c>
      <c r="D20" s="126"/>
      <c r="E20" s="126"/>
      <c r="F20" s="126"/>
      <c r="G20" s="126"/>
      <c r="H20" s="126"/>
      <c r="I20" s="136"/>
      <c r="J20" s="141">
        <f>SUM(J15:J19)</f>
        <v>323.95</v>
      </c>
    </row>
    <row r="21" spans="1:10" x14ac:dyDescent="0.25">
      <c r="A21" s="6"/>
      <c r="B21" s="6"/>
      <c r="C21" s="6"/>
      <c r="D21" s="13"/>
      <c r="E21" s="13"/>
      <c r="F21" s="13"/>
      <c r="G21" s="13"/>
      <c r="H21" s="13"/>
      <c r="I21" s="13"/>
      <c r="J21" s="13"/>
    </row>
    <row r="22" spans="1:10" x14ac:dyDescent="0.25">
      <c r="A22" s="3"/>
      <c r="B22" s="3"/>
      <c r="C22" s="123" t="s">
        <v>182</v>
      </c>
      <c r="D22" s="138"/>
      <c r="E22" s="138"/>
      <c r="F22" s="138"/>
      <c r="G22" s="138"/>
      <c r="H22" s="138"/>
      <c r="I22" s="138"/>
      <c r="J22" s="145">
        <f>SUM(J12,J20)</f>
        <v>398.11</v>
      </c>
    </row>
    <row r="23" spans="1:10" x14ac:dyDescent="0.25">
      <c r="A23" s="3"/>
      <c r="B23" s="3"/>
      <c r="C23" s="3"/>
      <c r="D23" s="3"/>
      <c r="E23" s="3"/>
      <c r="F23" s="3"/>
      <c r="G23" s="3"/>
      <c r="H23" s="143"/>
      <c r="I23" s="144" t="s">
        <v>181</v>
      </c>
      <c r="J23" s="146" t="s">
        <v>7</v>
      </c>
    </row>
  </sheetData>
  <mergeCells count="6">
    <mergeCell ref="A14:B14"/>
    <mergeCell ref="A2:J2"/>
    <mergeCell ref="A4:J4"/>
    <mergeCell ref="A5:J5"/>
    <mergeCell ref="A7:B7"/>
    <mergeCell ref="C10:C11"/>
  </mergeCells>
  <pageMargins left="0.51181102362204722" right="0.51181102362204722" top="0.78740157480314965" bottom="0.78740157480314965"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3995-8B4E-4CDC-9787-76036125E8A6}">
  <sheetPr>
    <pageSetUpPr fitToPage="1"/>
  </sheetPr>
  <dimension ref="A2:H29"/>
  <sheetViews>
    <sheetView workbookViewId="0">
      <selection sqref="A1:H30"/>
    </sheetView>
  </sheetViews>
  <sheetFormatPr defaultRowHeight="15" x14ac:dyDescent="0.25"/>
  <cols>
    <col min="2" max="2" width="15.7109375" customWidth="1"/>
    <col min="3" max="3" width="27" customWidth="1"/>
    <col min="4" max="4" width="15.85546875" customWidth="1"/>
    <col min="5" max="5" width="12.28515625" customWidth="1"/>
    <col min="6" max="6" width="19.28515625" customWidth="1"/>
    <col min="7" max="7" width="19.42578125" customWidth="1"/>
    <col min="8" max="8" width="19.28515625" customWidth="1"/>
  </cols>
  <sheetData>
    <row r="2" spans="1:8" ht="15.75" thickBot="1" x14ac:dyDescent="0.3">
      <c r="A2" s="418" t="s">
        <v>438</v>
      </c>
      <c r="B2" s="418"/>
      <c r="C2" s="418"/>
      <c r="D2" s="418"/>
      <c r="E2" s="418"/>
      <c r="F2" s="418"/>
      <c r="G2" s="418"/>
      <c r="H2" s="418"/>
    </row>
    <row r="3" spans="1:8" ht="16.5" thickTop="1" thickBot="1" x14ac:dyDescent="0.3">
      <c r="A3" s="93"/>
      <c r="B3" s="93"/>
      <c r="C3" s="93"/>
      <c r="D3" s="93"/>
      <c r="E3" s="93"/>
      <c r="F3" s="93"/>
      <c r="G3" s="93"/>
      <c r="H3" s="93"/>
    </row>
    <row r="4" spans="1:8" x14ac:dyDescent="0.25">
      <c r="A4" s="419" t="s">
        <v>290</v>
      </c>
      <c r="B4" s="420"/>
      <c r="C4" s="420"/>
      <c r="D4" s="420"/>
      <c r="E4" s="420"/>
      <c r="F4" s="420"/>
      <c r="G4" s="420"/>
      <c r="H4" s="421"/>
    </row>
    <row r="5" spans="1:8" ht="15.75" thickBot="1" x14ac:dyDescent="0.3">
      <c r="A5" s="422" t="str">
        <f>Orc!A4</f>
        <v>RUA BENNO JOHAN HEINLE - EXTENSÃO 125,00 m  - BAIRRO INDUSTRIAL - LINDOLFO COLLOR, RS</v>
      </c>
      <c r="B5" s="423"/>
      <c r="C5" s="423"/>
      <c r="D5" s="423"/>
      <c r="E5" s="423"/>
      <c r="F5" s="423"/>
      <c r="G5" s="423"/>
      <c r="H5" s="424"/>
    </row>
    <row r="7" spans="1:8" ht="15.75" thickBot="1" x14ac:dyDescent="0.3">
      <c r="A7" s="431" t="s">
        <v>357</v>
      </c>
      <c r="B7" s="432"/>
      <c r="C7" s="432"/>
      <c r="D7" s="432"/>
      <c r="E7" s="432"/>
      <c r="F7" s="432"/>
      <c r="G7" s="432"/>
      <c r="H7" s="432"/>
    </row>
    <row r="8" spans="1:8" ht="34.5" customHeight="1" thickBot="1" x14ac:dyDescent="0.3">
      <c r="A8" s="396"/>
      <c r="B8" s="397" t="s">
        <v>361</v>
      </c>
      <c r="C8" s="397" t="s">
        <v>27</v>
      </c>
      <c r="D8" s="397" t="s">
        <v>358</v>
      </c>
      <c r="E8" s="397" t="s">
        <v>359</v>
      </c>
      <c r="F8" s="397" t="s">
        <v>360</v>
      </c>
      <c r="G8" s="397" t="s">
        <v>362</v>
      </c>
      <c r="H8" s="398" t="s">
        <v>360</v>
      </c>
    </row>
    <row r="9" spans="1:8" ht="24.95" customHeight="1" x14ac:dyDescent="0.25">
      <c r="A9" s="386" t="s">
        <v>107</v>
      </c>
      <c r="B9" s="387" t="s">
        <v>363</v>
      </c>
      <c r="C9" s="387" t="s">
        <v>364</v>
      </c>
      <c r="D9" s="387" t="s">
        <v>187</v>
      </c>
      <c r="E9" s="387" t="s">
        <v>365</v>
      </c>
      <c r="F9" s="387" t="s">
        <v>366</v>
      </c>
      <c r="G9" s="387" t="s">
        <v>367</v>
      </c>
      <c r="H9" s="388">
        <f>F9*G9</f>
        <v>19.100000000000001</v>
      </c>
    </row>
    <row r="10" spans="1:8" ht="24.95" customHeight="1" x14ac:dyDescent="0.25">
      <c r="A10" s="389" t="s">
        <v>107</v>
      </c>
      <c r="B10" s="385" t="s">
        <v>368</v>
      </c>
      <c r="C10" s="385" t="s">
        <v>369</v>
      </c>
      <c r="D10" s="385" t="s">
        <v>187</v>
      </c>
      <c r="E10" s="385" t="s">
        <v>365</v>
      </c>
      <c r="F10" s="385" t="s">
        <v>370</v>
      </c>
      <c r="G10" s="385" t="s">
        <v>371</v>
      </c>
      <c r="H10" s="390">
        <f t="shared" ref="H10:H27" si="0">F10*G10</f>
        <v>6.04</v>
      </c>
    </row>
    <row r="11" spans="1:8" ht="24.95" customHeight="1" x14ac:dyDescent="0.25">
      <c r="A11" s="389" t="s">
        <v>107</v>
      </c>
      <c r="B11" s="385" t="s">
        <v>372</v>
      </c>
      <c r="C11" s="385" t="s">
        <v>373</v>
      </c>
      <c r="D11" s="385" t="s">
        <v>374</v>
      </c>
      <c r="E11" s="385" t="s">
        <v>365</v>
      </c>
      <c r="F11" s="385" t="s">
        <v>375</v>
      </c>
      <c r="G11" s="385" t="s">
        <v>376</v>
      </c>
      <c r="H11" s="390">
        <f t="shared" si="0"/>
        <v>0.184</v>
      </c>
    </row>
    <row r="12" spans="1:8" ht="24.95" customHeight="1" x14ac:dyDescent="0.25">
      <c r="A12" s="389" t="s">
        <v>107</v>
      </c>
      <c r="B12" s="385" t="s">
        <v>377</v>
      </c>
      <c r="C12" s="385" t="s">
        <v>378</v>
      </c>
      <c r="D12" s="385" t="s">
        <v>379</v>
      </c>
      <c r="E12" s="385" t="s">
        <v>380</v>
      </c>
      <c r="F12" s="385" t="s">
        <v>381</v>
      </c>
      <c r="G12" s="385" t="s">
        <v>382</v>
      </c>
      <c r="H12" s="390">
        <f t="shared" si="0"/>
        <v>9.7000000000000003E-2</v>
      </c>
    </row>
    <row r="13" spans="1:8" ht="24.95" customHeight="1" x14ac:dyDescent="0.25">
      <c r="A13" s="389" t="s">
        <v>107</v>
      </c>
      <c r="B13" s="385" t="s">
        <v>383</v>
      </c>
      <c r="C13" s="385" t="s">
        <v>384</v>
      </c>
      <c r="D13" s="385" t="s">
        <v>374</v>
      </c>
      <c r="E13" s="385" t="s">
        <v>365</v>
      </c>
      <c r="F13" s="385" t="s">
        <v>385</v>
      </c>
      <c r="G13" s="385" t="s">
        <v>386</v>
      </c>
      <c r="H13" s="390">
        <f t="shared" si="0"/>
        <v>2.7549999999999999</v>
      </c>
    </row>
    <row r="14" spans="1:8" ht="24.95" customHeight="1" x14ac:dyDescent="0.25">
      <c r="A14" s="389" t="s">
        <v>107</v>
      </c>
      <c r="B14" s="385" t="s">
        <v>387</v>
      </c>
      <c r="C14" s="385" t="s">
        <v>388</v>
      </c>
      <c r="D14" s="385" t="s">
        <v>374</v>
      </c>
      <c r="E14" s="385" t="s">
        <v>365</v>
      </c>
      <c r="F14" s="385" t="s">
        <v>389</v>
      </c>
      <c r="G14" s="385" t="s">
        <v>390</v>
      </c>
      <c r="H14" s="390">
        <f t="shared" si="0"/>
        <v>9.8000000000000007</v>
      </c>
    </row>
    <row r="15" spans="1:8" ht="24.95" customHeight="1" x14ac:dyDescent="0.25">
      <c r="A15" s="389" t="s">
        <v>107</v>
      </c>
      <c r="B15" s="385" t="s">
        <v>391</v>
      </c>
      <c r="C15" s="385" t="s">
        <v>392</v>
      </c>
      <c r="D15" s="385" t="s">
        <v>379</v>
      </c>
      <c r="E15" s="385" t="s">
        <v>393</v>
      </c>
      <c r="F15" s="385" t="s">
        <v>394</v>
      </c>
      <c r="G15" s="385" t="s">
        <v>395</v>
      </c>
      <c r="H15" s="390">
        <f t="shared" si="0"/>
        <v>4.28</v>
      </c>
    </row>
    <row r="16" spans="1:8" ht="24.95" customHeight="1" x14ac:dyDescent="0.25">
      <c r="A16" s="389" t="s">
        <v>107</v>
      </c>
      <c r="B16" s="385" t="s">
        <v>396</v>
      </c>
      <c r="C16" s="385" t="s">
        <v>397</v>
      </c>
      <c r="D16" s="385" t="s">
        <v>374</v>
      </c>
      <c r="E16" s="385" t="s">
        <v>365</v>
      </c>
      <c r="F16" s="385" t="s">
        <v>398</v>
      </c>
      <c r="G16" s="385" t="s">
        <v>386</v>
      </c>
      <c r="H16" s="390">
        <f t="shared" si="0"/>
        <v>0.02</v>
      </c>
    </row>
    <row r="17" spans="1:8" ht="24.95" customHeight="1" x14ac:dyDescent="0.25">
      <c r="A17" s="389" t="s">
        <v>107</v>
      </c>
      <c r="B17" s="385" t="s">
        <v>399</v>
      </c>
      <c r="C17" s="385" t="s">
        <v>400</v>
      </c>
      <c r="D17" s="385" t="s">
        <v>374</v>
      </c>
      <c r="E17" s="385" t="s">
        <v>365</v>
      </c>
      <c r="F17" s="385" t="s">
        <v>401</v>
      </c>
      <c r="G17" s="385" t="s">
        <v>402</v>
      </c>
      <c r="H17" s="390">
        <f t="shared" si="0"/>
        <v>1.2E-2</v>
      </c>
    </row>
    <row r="18" spans="1:8" ht="24.95" customHeight="1" x14ac:dyDescent="0.25">
      <c r="A18" s="389" t="s">
        <v>107</v>
      </c>
      <c r="B18" s="385" t="s">
        <v>403</v>
      </c>
      <c r="C18" s="385" t="s">
        <v>404</v>
      </c>
      <c r="D18" s="385" t="s">
        <v>374</v>
      </c>
      <c r="E18" s="385" t="s">
        <v>365</v>
      </c>
      <c r="F18" s="385" t="s">
        <v>405</v>
      </c>
      <c r="G18" s="385" t="s">
        <v>406</v>
      </c>
      <c r="H18" s="390">
        <f t="shared" si="0"/>
        <v>5.0000000000000001E-3</v>
      </c>
    </row>
    <row r="19" spans="1:8" ht="24.95" customHeight="1" x14ac:dyDescent="0.25">
      <c r="A19" s="389" t="s">
        <v>107</v>
      </c>
      <c r="B19" s="385" t="s">
        <v>407</v>
      </c>
      <c r="C19" s="385" t="s">
        <v>408</v>
      </c>
      <c r="D19" s="385" t="s">
        <v>187</v>
      </c>
      <c r="E19" s="385" t="s">
        <v>365</v>
      </c>
      <c r="F19" s="385" t="s">
        <v>370</v>
      </c>
      <c r="G19" s="385" t="s">
        <v>367</v>
      </c>
      <c r="H19" s="390">
        <f t="shared" si="0"/>
        <v>24.16</v>
      </c>
    </row>
    <row r="20" spans="1:8" ht="24.95" customHeight="1" x14ac:dyDescent="0.25">
      <c r="A20" s="389" t="s">
        <v>107</v>
      </c>
      <c r="B20" s="385" t="s">
        <v>409</v>
      </c>
      <c r="C20" s="385" t="s">
        <v>410</v>
      </c>
      <c r="D20" s="385" t="s">
        <v>379</v>
      </c>
      <c r="E20" s="385" t="s">
        <v>393</v>
      </c>
      <c r="F20" s="385" t="s">
        <v>411</v>
      </c>
      <c r="G20" s="385" t="s">
        <v>395</v>
      </c>
      <c r="H20" s="390">
        <f t="shared" si="0"/>
        <v>1.2</v>
      </c>
    </row>
    <row r="21" spans="1:8" ht="24.95" customHeight="1" x14ac:dyDescent="0.25">
      <c r="A21" s="389" t="s">
        <v>107</v>
      </c>
      <c r="B21" s="385" t="s">
        <v>412</v>
      </c>
      <c r="C21" s="385" t="s">
        <v>413</v>
      </c>
      <c r="D21" s="385" t="s">
        <v>379</v>
      </c>
      <c r="E21" s="385" t="s">
        <v>393</v>
      </c>
      <c r="F21" s="385" t="s">
        <v>414</v>
      </c>
      <c r="G21" s="385" t="s">
        <v>415</v>
      </c>
      <c r="H21" s="390">
        <f t="shared" si="0"/>
        <v>3.12</v>
      </c>
    </row>
    <row r="22" spans="1:8" ht="24.95" customHeight="1" x14ac:dyDescent="0.25">
      <c r="A22" s="389" t="s">
        <v>107</v>
      </c>
      <c r="B22" s="385" t="s">
        <v>416</v>
      </c>
      <c r="C22" s="385" t="s">
        <v>417</v>
      </c>
      <c r="D22" s="385" t="s">
        <v>379</v>
      </c>
      <c r="E22" s="385" t="s">
        <v>7</v>
      </c>
      <c r="F22" s="385" t="s">
        <v>418</v>
      </c>
      <c r="G22" s="385" t="s">
        <v>419</v>
      </c>
      <c r="H22" s="390">
        <f t="shared" si="0"/>
        <v>176.16200000000001</v>
      </c>
    </row>
    <row r="23" spans="1:8" ht="24.95" customHeight="1" x14ac:dyDescent="0.25">
      <c r="A23" s="389" t="s">
        <v>107</v>
      </c>
      <c r="B23" s="385" t="s">
        <v>420</v>
      </c>
      <c r="C23" s="385" t="s">
        <v>421</v>
      </c>
      <c r="D23" s="385" t="s">
        <v>187</v>
      </c>
      <c r="E23" s="385" t="s">
        <v>365</v>
      </c>
      <c r="F23" s="385" t="s">
        <v>370</v>
      </c>
      <c r="G23" s="385" t="s">
        <v>422</v>
      </c>
      <c r="H23" s="390">
        <f t="shared" si="0"/>
        <v>9.06</v>
      </c>
    </row>
    <row r="24" spans="1:8" ht="24.95" customHeight="1" x14ac:dyDescent="0.25">
      <c r="A24" s="389" t="s">
        <v>107</v>
      </c>
      <c r="B24" s="385" t="s">
        <v>423</v>
      </c>
      <c r="C24" s="385" t="s">
        <v>424</v>
      </c>
      <c r="D24" s="385" t="s">
        <v>379</v>
      </c>
      <c r="E24" s="385" t="s">
        <v>425</v>
      </c>
      <c r="F24" s="385" t="s">
        <v>426</v>
      </c>
      <c r="G24" s="385" t="s">
        <v>415</v>
      </c>
      <c r="H24" s="390">
        <f t="shared" si="0"/>
        <v>66.33</v>
      </c>
    </row>
    <row r="25" spans="1:8" ht="24.95" customHeight="1" x14ac:dyDescent="0.25">
      <c r="A25" s="389" t="s">
        <v>107</v>
      </c>
      <c r="B25" s="385" t="s">
        <v>427</v>
      </c>
      <c r="C25" s="385" t="s">
        <v>428</v>
      </c>
      <c r="D25" s="385" t="s">
        <v>379</v>
      </c>
      <c r="E25" s="385" t="s">
        <v>103</v>
      </c>
      <c r="F25" s="385" t="s">
        <v>429</v>
      </c>
      <c r="G25" s="385" t="s">
        <v>430</v>
      </c>
      <c r="H25" s="390">
        <f t="shared" si="0"/>
        <v>17.606999999999999</v>
      </c>
    </row>
    <row r="26" spans="1:8" ht="24.95" customHeight="1" x14ac:dyDescent="0.25">
      <c r="A26" s="389" t="s">
        <v>107</v>
      </c>
      <c r="B26" s="385" t="s">
        <v>431</v>
      </c>
      <c r="C26" s="385" t="s">
        <v>432</v>
      </c>
      <c r="D26" s="385" t="s">
        <v>379</v>
      </c>
      <c r="E26" s="385" t="s">
        <v>103</v>
      </c>
      <c r="F26" s="385" t="s">
        <v>433</v>
      </c>
      <c r="G26" s="385" t="s">
        <v>434</v>
      </c>
      <c r="H26" s="390">
        <f t="shared" si="0"/>
        <v>27.356999999999999</v>
      </c>
    </row>
    <row r="27" spans="1:8" ht="24.95" customHeight="1" thickBot="1" x14ac:dyDescent="0.3">
      <c r="A27" s="391" t="s">
        <v>107</v>
      </c>
      <c r="B27" s="392" t="s">
        <v>435</v>
      </c>
      <c r="C27" s="392" t="s">
        <v>436</v>
      </c>
      <c r="D27" s="392" t="s">
        <v>379</v>
      </c>
      <c r="E27" s="392" t="s">
        <v>425</v>
      </c>
      <c r="F27" s="392" t="s">
        <v>437</v>
      </c>
      <c r="G27" s="392" t="s">
        <v>395</v>
      </c>
      <c r="H27" s="393">
        <f t="shared" si="0"/>
        <v>20.98</v>
      </c>
    </row>
    <row r="28" spans="1:8" ht="15.75" thickBot="1" x14ac:dyDescent="0.3">
      <c r="H28" s="384"/>
    </row>
    <row r="29" spans="1:8" ht="15.75" thickBot="1" x14ac:dyDescent="0.3">
      <c r="G29" s="394" t="s">
        <v>439</v>
      </c>
      <c r="H29" s="395">
        <f>SUM(H9:H27)</f>
        <v>388.27</v>
      </c>
    </row>
  </sheetData>
  <mergeCells count="4">
    <mergeCell ref="A2:H2"/>
    <mergeCell ref="A4:H4"/>
    <mergeCell ref="A5:H5"/>
    <mergeCell ref="A7:H7"/>
  </mergeCells>
  <pageMargins left="0.51181102362204722" right="0.51181102362204722" top="0.78740157480314965" bottom="0.78740157480314965" header="0.31496062992125984" footer="0.31496062992125984"/>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3">
    <pageSetUpPr fitToPage="1"/>
  </sheetPr>
  <dimension ref="A1:L164"/>
  <sheetViews>
    <sheetView view="pageBreakPreview" zoomScale="89" zoomScaleSheetLayoutView="89" zoomScalePageLayoutView="40" workbookViewId="0">
      <selection activeCell="C106" sqref="C106:F106"/>
    </sheetView>
  </sheetViews>
  <sheetFormatPr defaultColWidth="9.140625" defaultRowHeight="20.100000000000001" customHeight="1" x14ac:dyDescent="0.25"/>
  <cols>
    <col min="1" max="1" width="6.7109375" style="1" bestFit="1" customWidth="1"/>
    <col min="2" max="2" width="8.28515625" style="1" hidden="1" customWidth="1"/>
    <col min="3" max="3" width="14.7109375" style="8" customWidth="1"/>
    <col min="4" max="4" width="14.7109375" style="1" customWidth="1"/>
    <col min="5" max="5" width="14.7109375" style="2" customWidth="1"/>
    <col min="6" max="9" width="14.7109375" style="3" customWidth="1"/>
    <col min="10" max="10" width="12.28515625" style="5" customWidth="1"/>
    <col min="11" max="16384" width="9.140625" style="5"/>
  </cols>
  <sheetData>
    <row r="1" spans="1:9" s="3" customFormat="1" ht="20.100000000000001" customHeight="1" thickBot="1" x14ac:dyDescent="0.3">
      <c r="A1" s="463" t="s">
        <v>173</v>
      </c>
      <c r="B1" s="463"/>
      <c r="C1" s="463"/>
      <c r="D1" s="463"/>
      <c r="E1" s="463"/>
      <c r="F1" s="463"/>
      <c r="G1" s="463"/>
      <c r="H1" s="463"/>
      <c r="I1" s="463"/>
    </row>
    <row r="2" spans="1:9" s="3" customFormat="1" ht="9.9499999999999993" customHeight="1" thickTop="1" thickBot="1" x14ac:dyDescent="0.3">
      <c r="A2" s="10"/>
      <c r="B2" s="10"/>
      <c r="C2" s="10"/>
      <c r="D2" s="10"/>
      <c r="E2" s="4"/>
    </row>
    <row r="3" spans="1:9" ht="20.100000000000001" customHeight="1" x14ac:dyDescent="0.25">
      <c r="A3" s="467" t="str">
        <f>Orc!A3</f>
        <v>PROJETO EXECUTIVO DE PAVIMENTAÇÃO URBANA, SINALIZAÇÃO VIÁRIA E ACESSIBILIDADE</v>
      </c>
      <c r="B3" s="468"/>
      <c r="C3" s="468"/>
      <c r="D3" s="468"/>
      <c r="E3" s="468"/>
      <c r="F3" s="468"/>
      <c r="G3" s="468"/>
      <c r="H3" s="468"/>
      <c r="I3" s="469"/>
    </row>
    <row r="4" spans="1:9" ht="30" customHeight="1" thickBot="1" x14ac:dyDescent="0.3">
      <c r="A4" s="464" t="str">
        <f>Orc!A4</f>
        <v>RUA BENNO JOHAN HEINLE - EXTENSÃO 125,00 m  - BAIRRO INDUSTRIAL - LINDOLFO COLLOR, RS</v>
      </c>
      <c r="B4" s="465"/>
      <c r="C4" s="465"/>
      <c r="D4" s="465"/>
      <c r="E4" s="465"/>
      <c r="F4" s="465"/>
      <c r="G4" s="465"/>
      <c r="H4" s="465"/>
      <c r="I4" s="466"/>
    </row>
    <row r="5" spans="1:9" ht="20.100000000000001" customHeight="1" x14ac:dyDescent="0.25">
      <c r="A5" s="10"/>
      <c r="B5" s="10"/>
      <c r="C5" s="10"/>
      <c r="D5" s="10"/>
      <c r="E5" s="4"/>
    </row>
    <row r="6" spans="1:9" ht="20.100000000000001" customHeight="1" x14ac:dyDescent="0.25">
      <c r="A6" s="177">
        <v>1</v>
      </c>
      <c r="B6" s="6" t="str">
        <f>IF(AND(A6=Orc!A9,C6=Orc!D9),"Ok","Conferir")</f>
        <v>Ok</v>
      </c>
      <c r="C6" s="11" t="s">
        <v>29</v>
      </c>
      <c r="D6" s="3"/>
      <c r="E6" s="3"/>
    </row>
    <row r="7" spans="1:9" ht="20.100000000000001" customHeight="1" x14ac:dyDescent="0.25">
      <c r="A7" s="1" t="s">
        <v>13</v>
      </c>
      <c r="B7" s="6" t="str">
        <f>IF(AND(A7=Orc!A10,C7=Orc!D10),"Ok","Conferir")</f>
        <v>Conferir</v>
      </c>
      <c r="C7" s="8" t="s">
        <v>31</v>
      </c>
      <c r="D7" s="3"/>
      <c r="E7" s="3"/>
      <c r="I7" s="262">
        <f>E10</f>
        <v>4.5</v>
      </c>
    </row>
    <row r="8" spans="1:9" ht="20.100000000000001" customHeight="1" x14ac:dyDescent="0.25">
      <c r="B8" s="6"/>
      <c r="C8" s="452" t="s">
        <v>50</v>
      </c>
      <c r="D8" s="452" t="s">
        <v>51</v>
      </c>
      <c r="E8" s="452" t="s">
        <v>47</v>
      </c>
    </row>
    <row r="9" spans="1:9" ht="20.100000000000001" customHeight="1" thickBot="1" x14ac:dyDescent="0.3">
      <c r="B9" s="6"/>
      <c r="C9" s="455"/>
      <c r="D9" s="455"/>
      <c r="E9" s="455"/>
    </row>
    <row r="10" spans="1:9" ht="20.100000000000001" customHeight="1" thickTop="1" x14ac:dyDescent="0.25">
      <c r="B10" s="6"/>
      <c r="C10" s="7">
        <v>1.5</v>
      </c>
      <c r="D10" s="7">
        <v>3</v>
      </c>
      <c r="E10" s="200">
        <f>ROUNDUP(C10*D10,2)</f>
        <v>4.5</v>
      </c>
    </row>
    <row r="11" spans="1:9" ht="20.100000000000001" customHeight="1" x14ac:dyDescent="0.25">
      <c r="B11" s="6"/>
      <c r="D11" s="3"/>
      <c r="E11" s="10"/>
      <c r="F11" s="12"/>
    </row>
    <row r="12" spans="1:9" ht="20.100000000000001" customHeight="1" x14ac:dyDescent="0.25">
      <c r="A12" s="1" t="s">
        <v>14</v>
      </c>
      <c r="B12" s="6"/>
      <c r="C12" s="3" t="str">
        <f>Orc!D11</f>
        <v>Marcação de pontos em gabarito ou cavalete</v>
      </c>
      <c r="D12" s="6"/>
      <c r="E12" s="11"/>
      <c r="F12" s="1"/>
      <c r="G12" s="2"/>
      <c r="I12" s="265">
        <f>H17</f>
        <v>250</v>
      </c>
    </row>
    <row r="13" spans="1:9" ht="20.100000000000001" customHeight="1" x14ac:dyDescent="0.25">
      <c r="B13" s="6"/>
      <c r="C13" s="1"/>
      <c r="D13" s="6"/>
      <c r="E13" s="8"/>
      <c r="I13" s="92"/>
    </row>
    <row r="14" spans="1:9" ht="20.100000000000001" customHeight="1" x14ac:dyDescent="0.25">
      <c r="B14" s="6"/>
      <c r="C14" s="1"/>
      <c r="D14" s="6"/>
      <c r="E14" s="476" t="s">
        <v>26</v>
      </c>
      <c r="F14" s="477"/>
      <c r="G14" s="478"/>
      <c r="H14" s="471" t="s">
        <v>256</v>
      </c>
      <c r="I14" s="92"/>
    </row>
    <row r="15" spans="1:9" ht="20.100000000000001" customHeight="1" thickBot="1" x14ac:dyDescent="0.3">
      <c r="B15" s="6"/>
      <c r="C15" s="1"/>
      <c r="D15" s="6"/>
      <c r="E15" s="479"/>
      <c r="F15" s="463"/>
      <c r="G15" s="480"/>
      <c r="H15" s="472"/>
      <c r="I15" s="92"/>
    </row>
    <row r="16" spans="1:9" ht="20.100000000000001" customHeight="1" thickTop="1" x14ac:dyDescent="0.25">
      <c r="B16" s="6"/>
      <c r="C16" s="1"/>
      <c r="D16" s="6"/>
      <c r="E16" s="473" t="s">
        <v>323</v>
      </c>
      <c r="F16" s="474"/>
      <c r="G16" s="475"/>
      <c r="H16" s="87">
        <v>250</v>
      </c>
      <c r="I16" s="92"/>
    </row>
    <row r="17" spans="1:9" ht="20.100000000000001" customHeight="1" x14ac:dyDescent="0.25">
      <c r="B17" s="6"/>
      <c r="C17" s="1"/>
      <c r="D17" s="6"/>
      <c r="E17" s="456" t="s">
        <v>35</v>
      </c>
      <c r="F17" s="457"/>
      <c r="G17" s="458"/>
      <c r="H17" s="186">
        <f>SUM(H16:H16)</f>
        <v>250</v>
      </c>
      <c r="I17" s="92"/>
    </row>
    <row r="18" spans="1:9" ht="20.100000000000001" customHeight="1" x14ac:dyDescent="0.25">
      <c r="B18" s="6"/>
      <c r="C18" s="92"/>
      <c r="D18" s="92"/>
      <c r="E18" s="92"/>
      <c r="F18" s="92"/>
      <c r="G18" s="92"/>
      <c r="H18" s="92"/>
      <c r="I18" s="92"/>
    </row>
    <row r="19" spans="1:9" ht="20.100000000000001" customHeight="1" x14ac:dyDescent="0.25">
      <c r="A19" s="177">
        <v>2</v>
      </c>
      <c r="B19" s="6" t="str">
        <f>IF(AND(A19=Orc!A14,C19=Orc!D14),"Ok","Conferir")</f>
        <v>Ok</v>
      </c>
      <c r="C19" s="11" t="s">
        <v>30</v>
      </c>
    </row>
    <row r="20" spans="1:9" ht="20.100000000000001" customHeight="1" x14ac:dyDescent="0.25">
      <c r="A20" s="1" t="s">
        <v>15</v>
      </c>
      <c r="B20" s="6" t="str">
        <f>IF(AND(A20=Orc!A15,C20=Orc!D15),"Ok","Conferir")</f>
        <v>Ok</v>
      </c>
      <c r="C20" s="9" t="s">
        <v>200</v>
      </c>
      <c r="D20" s="92"/>
      <c r="E20" s="92"/>
      <c r="F20" s="92"/>
      <c r="G20" s="92"/>
      <c r="H20" s="92"/>
      <c r="I20" s="264">
        <f>E22</f>
        <v>1</v>
      </c>
    </row>
    <row r="21" spans="1:9" s="180" customFormat="1" ht="20.100000000000001" customHeight="1" x14ac:dyDescent="0.25">
      <c r="A21" s="6"/>
      <c r="B21" s="6"/>
      <c r="C21" s="181"/>
      <c r="D21" s="182"/>
      <c r="E21" s="182" t="s">
        <v>39</v>
      </c>
      <c r="F21" s="182"/>
      <c r="G21" s="182"/>
      <c r="H21" s="182"/>
      <c r="I21" s="182"/>
    </row>
    <row r="22" spans="1:9" ht="20.100000000000001" customHeight="1" x14ac:dyDescent="0.25">
      <c r="B22" s="6"/>
      <c r="C22" s="456" t="s">
        <v>197</v>
      </c>
      <c r="D22" s="458"/>
      <c r="E22" s="201">
        <v>1</v>
      </c>
      <c r="F22" s="182"/>
      <c r="G22" s="182"/>
      <c r="H22" s="182"/>
      <c r="I22" s="83"/>
    </row>
    <row r="23" spans="1:9" ht="18" customHeight="1" x14ac:dyDescent="0.25">
      <c r="B23" s="6"/>
      <c r="C23" s="470"/>
      <c r="D23" s="470"/>
      <c r="E23" s="470"/>
      <c r="F23" s="470"/>
      <c r="G23" s="470"/>
      <c r="H23" s="470"/>
      <c r="I23" s="470"/>
    </row>
    <row r="24" spans="1:9" ht="20.100000000000001" customHeight="1" x14ac:dyDescent="0.25">
      <c r="A24" s="177">
        <v>3</v>
      </c>
      <c r="B24" s="6" t="str">
        <f>IF(AND(A24=Orc!A18,C24=Orc!D18),"Ok","Conferir")</f>
        <v>Conferir</v>
      </c>
      <c r="C24" s="11" t="s">
        <v>42</v>
      </c>
    </row>
    <row r="25" spans="1:9" ht="20.100000000000001" customHeight="1" x14ac:dyDescent="0.25">
      <c r="A25" s="177"/>
      <c r="B25" s="6"/>
      <c r="C25" s="11"/>
    </row>
    <row r="26" spans="1:9" ht="20.100000000000001" customHeight="1" x14ac:dyDescent="0.25">
      <c r="A26" s="177">
        <v>3</v>
      </c>
      <c r="B26" s="6" t="e">
        <f>IF(AND(A26=Orc!#REF!,C26=Orc!#REF!),"Ok","Conferir")</f>
        <v>#REF!</v>
      </c>
      <c r="C26" s="11" t="s">
        <v>217</v>
      </c>
    </row>
    <row r="27" spans="1:9" ht="20.100000000000001" customHeight="1" x14ac:dyDescent="0.25">
      <c r="A27" s="1" t="s">
        <v>16</v>
      </c>
      <c r="B27" s="6" t="str">
        <f>IF(AND(A27=Orc!A19,C27=Orc!D19),"Ok","Conferir")</f>
        <v>Conferir</v>
      </c>
      <c r="C27" s="8" t="s">
        <v>317</v>
      </c>
    </row>
    <row r="28" spans="1:9" ht="20.100000000000001" customHeight="1" x14ac:dyDescent="0.25">
      <c r="A28" s="1" t="s">
        <v>201</v>
      </c>
      <c r="B28" s="6" t="e">
        <f>IF(AND(A28=Orc!#REF!,C28=Orc!#REF!),"Ok","Conferir")</f>
        <v>#REF!</v>
      </c>
      <c r="C28" s="8" t="str">
        <f>Orc!D20</f>
        <v>Regularização e compactação de subleito, até 20 cm de espessura - Mecanizada</v>
      </c>
      <c r="I28" s="263">
        <f>E31</f>
        <v>1200</v>
      </c>
    </row>
    <row r="29" spans="1:9" ht="20.100000000000001" customHeight="1" x14ac:dyDescent="0.25">
      <c r="B29" s="6"/>
      <c r="C29" s="471" t="s">
        <v>257</v>
      </c>
      <c r="D29" s="471" t="s">
        <v>258</v>
      </c>
      <c r="E29" s="471" t="s">
        <v>259</v>
      </c>
    </row>
    <row r="30" spans="1:9" ht="20.100000000000001" customHeight="1" x14ac:dyDescent="0.25">
      <c r="B30" s="6"/>
      <c r="C30" s="481"/>
      <c r="D30" s="481"/>
      <c r="E30" s="481"/>
    </row>
    <row r="31" spans="1:9" ht="20.100000000000001" customHeight="1" x14ac:dyDescent="0.25">
      <c r="B31" s="6"/>
      <c r="C31" s="203">
        <v>125</v>
      </c>
      <c r="D31" s="184">
        <v>9.6</v>
      </c>
      <c r="E31" s="184">
        <f>C31*D31</f>
        <v>1200</v>
      </c>
      <c r="F31" s="227"/>
    </row>
    <row r="32" spans="1:9" ht="20.100000000000001" customHeight="1" x14ac:dyDescent="0.25">
      <c r="B32" s="6"/>
    </row>
    <row r="33" spans="1:9" ht="20.100000000000001" customHeight="1" x14ac:dyDescent="0.25">
      <c r="B33" s="6"/>
    </row>
    <row r="34" spans="1:9" ht="20.100000000000001" customHeight="1" x14ac:dyDescent="0.25">
      <c r="A34" s="1" t="s">
        <v>307</v>
      </c>
      <c r="B34" s="6" t="str">
        <f>IF(AND(A34=Orc!A17,C34=Orc!D17),"Ok","Conferir")</f>
        <v>Conferir</v>
      </c>
      <c r="C34" s="8" t="str">
        <f>Orc!D21</f>
        <v>Execução de base de brita graduada c/fornecimento de material s/transporte</v>
      </c>
      <c r="I34" s="263">
        <f>G37</f>
        <v>180</v>
      </c>
    </row>
    <row r="35" spans="1:9" ht="20.100000000000001" customHeight="1" x14ac:dyDescent="0.25">
      <c r="B35" s="6"/>
      <c r="C35" s="471" t="s">
        <v>257</v>
      </c>
      <c r="D35" s="471" t="s">
        <v>258</v>
      </c>
      <c r="E35" s="471" t="s">
        <v>259</v>
      </c>
      <c r="F35" s="471" t="s">
        <v>296</v>
      </c>
      <c r="G35" s="471" t="s">
        <v>297</v>
      </c>
    </row>
    <row r="36" spans="1:9" ht="20.100000000000001" customHeight="1" x14ac:dyDescent="0.25">
      <c r="B36" s="6"/>
      <c r="C36" s="481"/>
      <c r="D36" s="481"/>
      <c r="E36" s="481"/>
      <c r="F36" s="481"/>
      <c r="G36" s="481"/>
    </row>
    <row r="37" spans="1:9" ht="20.100000000000001" customHeight="1" x14ac:dyDescent="0.25">
      <c r="B37" s="6"/>
      <c r="C37" s="203">
        <v>125</v>
      </c>
      <c r="D37" s="184">
        <v>9.6</v>
      </c>
      <c r="E37" s="184">
        <f>C37*D37</f>
        <v>1200</v>
      </c>
      <c r="F37" s="184">
        <v>0.15</v>
      </c>
      <c r="G37" s="184">
        <f>E37*F37</f>
        <v>180</v>
      </c>
    </row>
    <row r="38" spans="1:9" ht="20.100000000000001" customHeight="1" x14ac:dyDescent="0.25">
      <c r="B38" s="6"/>
      <c r="C38" s="489"/>
      <c r="D38" s="489"/>
      <c r="E38" s="10"/>
      <c r="F38" s="98"/>
    </row>
    <row r="39" spans="1:9" ht="20.100000000000001" customHeight="1" x14ac:dyDescent="0.25">
      <c r="A39" s="1" t="s">
        <v>308</v>
      </c>
      <c r="B39" s="6" t="e">
        <f>IF(AND(A39=Orc!#REF!,C39=Orc!#REF!),"Ok","Conferir")</f>
        <v>#REF!</v>
      </c>
      <c r="C39" s="8" t="str">
        <f>Orc!D22</f>
        <v>Transporte de material, com caminhão basculante. Até 30 km</v>
      </c>
      <c r="I39" s="263">
        <f>H42</f>
        <v>3470.22</v>
      </c>
    </row>
    <row r="40" spans="1:9" ht="20.100000000000001" customHeight="1" x14ac:dyDescent="0.25">
      <c r="B40" s="6"/>
      <c r="C40" s="452" t="s">
        <v>26</v>
      </c>
      <c r="D40" s="452" t="s">
        <v>299</v>
      </c>
      <c r="E40" s="486" t="s">
        <v>163</v>
      </c>
      <c r="F40" s="452" t="s">
        <v>41</v>
      </c>
      <c r="G40" s="452" t="s">
        <v>46</v>
      </c>
      <c r="H40" s="452" t="s">
        <v>45</v>
      </c>
    </row>
    <row r="41" spans="1:9" ht="20.100000000000001" customHeight="1" thickBot="1" x14ac:dyDescent="0.3">
      <c r="B41" s="6"/>
      <c r="C41" s="455"/>
      <c r="D41" s="455"/>
      <c r="E41" s="487"/>
      <c r="F41" s="455"/>
      <c r="G41" s="455"/>
      <c r="H41" s="455"/>
    </row>
    <row r="42" spans="1:9" ht="20.100000000000001" customHeight="1" thickTop="1" x14ac:dyDescent="0.25">
      <c r="B42" s="6"/>
      <c r="C42" s="172" t="s">
        <v>298</v>
      </c>
      <c r="D42" s="95">
        <f>I34</f>
        <v>180</v>
      </c>
      <c r="E42" s="87">
        <v>1.3</v>
      </c>
      <c r="F42" s="87">
        <f>D42*E42</f>
        <v>234</v>
      </c>
      <c r="G42" s="87">
        <f>M_DMT!D12</f>
        <v>14.83</v>
      </c>
      <c r="H42" s="87">
        <f>F42*G42</f>
        <v>3470.22</v>
      </c>
    </row>
    <row r="43" spans="1:9" ht="20.100000000000001" customHeight="1" x14ac:dyDescent="0.25">
      <c r="B43" s="6"/>
      <c r="C43" s="226"/>
      <c r="D43" s="226"/>
      <c r="E43" s="10"/>
      <c r="F43" s="98"/>
    </row>
    <row r="44" spans="1:9" ht="20.100000000000001" customHeight="1" x14ac:dyDescent="0.25">
      <c r="B44" s="6"/>
      <c r="C44" s="226"/>
      <c r="D44" s="226"/>
      <c r="E44" s="10"/>
      <c r="F44" s="98"/>
    </row>
    <row r="45" spans="1:9" ht="20.100000000000001" customHeight="1" x14ac:dyDescent="0.25">
      <c r="B45" s="6"/>
      <c r="C45" s="226"/>
      <c r="D45" s="226"/>
      <c r="E45" s="10"/>
      <c r="F45" s="98"/>
    </row>
    <row r="46" spans="1:9" ht="20.100000000000001" customHeight="1" x14ac:dyDescent="0.25">
      <c r="A46" s="1" t="s">
        <v>17</v>
      </c>
      <c r="B46" s="6" t="str">
        <f>IF(AND(A46=Orc!A25,C46=Orc!D25),"Ok","Conferir")</f>
        <v>Conferir</v>
      </c>
      <c r="C46" s="8" t="s">
        <v>198</v>
      </c>
    </row>
    <row r="47" spans="1:9" ht="22.5" customHeight="1" x14ac:dyDescent="0.25">
      <c r="A47" s="1" t="s">
        <v>202</v>
      </c>
      <c r="B47" s="6" t="str">
        <f>IF(AND(A47=Orc!A26,C47=Orc!D26),"Ok","Conferir")</f>
        <v>Ok</v>
      </c>
      <c r="C47" s="8" t="str">
        <f>Orc!D26</f>
        <v>Execução de meio-fio pré-moldado (1,00x0,30x0,13x0,15), inclus. carga, transporte</v>
      </c>
      <c r="I47" s="263">
        <f>H50</f>
        <v>250</v>
      </c>
    </row>
    <row r="48" spans="1:9" ht="22.5" customHeight="1" x14ac:dyDescent="0.25">
      <c r="B48" s="6"/>
      <c r="C48" s="490" t="s">
        <v>26</v>
      </c>
      <c r="D48" s="491"/>
      <c r="E48" s="471" t="s">
        <v>279</v>
      </c>
      <c r="F48" s="471" t="s">
        <v>280</v>
      </c>
      <c r="G48" s="471" t="s">
        <v>303</v>
      </c>
      <c r="H48" s="471" t="s">
        <v>286</v>
      </c>
    </row>
    <row r="49" spans="1:12" ht="21" customHeight="1" x14ac:dyDescent="0.25">
      <c r="B49" s="6"/>
      <c r="C49" s="492"/>
      <c r="D49" s="493"/>
      <c r="E49" s="481"/>
      <c r="F49" s="481"/>
      <c r="G49" s="481"/>
      <c r="H49" s="481"/>
    </row>
    <row r="50" spans="1:12" ht="20.100000000000001" customHeight="1" x14ac:dyDescent="0.25">
      <c r="B50" s="6"/>
      <c r="C50" s="484" t="s">
        <v>278</v>
      </c>
      <c r="D50" s="485"/>
      <c r="E50" s="221">
        <v>250</v>
      </c>
      <c r="F50" s="191">
        <v>0</v>
      </c>
      <c r="G50" s="191">
        <v>0</v>
      </c>
      <c r="H50" s="191">
        <f>E50+F50+G50</f>
        <v>250</v>
      </c>
    </row>
    <row r="51" spans="1:12" ht="20.100000000000001" customHeight="1" x14ac:dyDescent="0.25">
      <c r="B51" s="6"/>
      <c r="C51" s="477"/>
      <c r="D51" s="477"/>
      <c r="E51" s="174"/>
      <c r="F51" s="174"/>
      <c r="G51" s="204"/>
      <c r="H51" s="187"/>
    </row>
    <row r="52" spans="1:12" ht="20.100000000000001" customHeight="1" x14ac:dyDescent="0.25">
      <c r="B52" s="6"/>
      <c r="C52" s="488" t="s">
        <v>227</v>
      </c>
      <c r="D52" s="488"/>
      <c r="E52" s="488"/>
      <c r="F52" s="488"/>
      <c r="G52" s="488"/>
      <c r="H52" s="488"/>
      <c r="I52" s="488"/>
    </row>
    <row r="53" spans="1:12" ht="20.100000000000001" customHeight="1" x14ac:dyDescent="0.25">
      <c r="B53" s="6"/>
      <c r="C53" s="470"/>
      <c r="D53" s="470"/>
      <c r="E53" s="470"/>
      <c r="F53" s="470"/>
      <c r="G53" s="470"/>
      <c r="H53" s="470"/>
      <c r="I53" s="470"/>
    </row>
    <row r="54" spans="1:12" ht="20.100000000000001" customHeight="1" x14ac:dyDescent="0.25">
      <c r="A54" s="177" t="s">
        <v>18</v>
      </c>
      <c r="B54" s="6" t="str">
        <f>IF(AND(A54=Orc!A29,C54=Orc!D29),"Ok","Conferir")</f>
        <v>Ok</v>
      </c>
      <c r="C54" s="11" t="str">
        <f>Orc!D29</f>
        <v>PAVIMENTAÇÃO</v>
      </c>
    </row>
    <row r="55" spans="1:12" ht="20.100000000000001" customHeight="1" x14ac:dyDescent="0.25">
      <c r="A55" s="1" t="s">
        <v>203</v>
      </c>
      <c r="B55" s="6" t="str">
        <f>IF(AND(A55=Orc!A30,C55=Orc!D30),"Ok","Conferir")</f>
        <v>Conferir</v>
      </c>
      <c r="C55" s="8" t="s">
        <v>225</v>
      </c>
      <c r="J55" s="209"/>
    </row>
    <row r="56" spans="1:12" ht="20.100000000000001" customHeight="1" x14ac:dyDescent="0.25">
      <c r="B56" s="6"/>
      <c r="D56" s="471" t="s">
        <v>261</v>
      </c>
      <c r="E56" s="471" t="s">
        <v>258</v>
      </c>
      <c r="F56" s="471" t="s">
        <v>281</v>
      </c>
      <c r="G56" s="482" t="s">
        <v>282</v>
      </c>
      <c r="I56" s="263">
        <f>G58</f>
        <v>1125</v>
      </c>
    </row>
    <row r="57" spans="1:12" ht="20.100000000000001" customHeight="1" thickBot="1" x14ac:dyDescent="0.3">
      <c r="B57" s="6"/>
      <c r="D57" s="472"/>
      <c r="E57" s="472"/>
      <c r="F57" s="472"/>
      <c r="G57" s="483"/>
      <c r="J57" s="209"/>
    </row>
    <row r="58" spans="1:12" ht="20.100000000000001" customHeight="1" thickTop="1" x14ac:dyDescent="0.25">
      <c r="B58" s="6"/>
      <c r="D58" s="205">
        <v>125</v>
      </c>
      <c r="E58" s="222">
        <v>9</v>
      </c>
      <c r="F58" s="222">
        <f>E58*D58</f>
        <v>1125</v>
      </c>
      <c r="G58" s="222">
        <f>F58</f>
        <v>1125</v>
      </c>
    </row>
    <row r="59" spans="1:12" ht="20.100000000000001" customHeight="1" x14ac:dyDescent="0.25">
      <c r="B59" s="6"/>
      <c r="D59" s="382"/>
      <c r="E59" s="383"/>
      <c r="F59" s="383"/>
      <c r="G59" s="383"/>
    </row>
    <row r="60" spans="1:12" ht="20.100000000000001" customHeight="1" x14ac:dyDescent="0.25">
      <c r="A60" s="1" t="s">
        <v>284</v>
      </c>
      <c r="B60" s="6" t="str">
        <f>IF(AND(A60=Orc!A32,C60=Orc!D32),"Ok","Conferir")</f>
        <v>Ok</v>
      </c>
      <c r="C60" s="8" t="s">
        <v>229</v>
      </c>
      <c r="I60" s="263">
        <f>H63</f>
        <v>1001.03</v>
      </c>
    </row>
    <row r="61" spans="1:12" ht="20.100000000000001" customHeight="1" x14ac:dyDescent="0.25">
      <c r="B61" s="6"/>
      <c r="C61" s="452" t="s">
        <v>26</v>
      </c>
      <c r="D61" s="452" t="s">
        <v>262</v>
      </c>
      <c r="E61" s="486" t="s">
        <v>163</v>
      </c>
      <c r="F61" s="452" t="s">
        <v>41</v>
      </c>
      <c r="G61" s="452" t="s">
        <v>46</v>
      </c>
      <c r="H61" s="452" t="s">
        <v>45</v>
      </c>
    </row>
    <row r="62" spans="1:12" ht="20.100000000000001" customHeight="1" thickBot="1" x14ac:dyDescent="0.3">
      <c r="B62" s="6"/>
      <c r="C62" s="455"/>
      <c r="D62" s="455"/>
      <c r="E62" s="487"/>
      <c r="F62" s="455"/>
      <c r="G62" s="455"/>
      <c r="H62" s="455"/>
    </row>
    <row r="63" spans="1:12" ht="20.100000000000001" customHeight="1" thickTop="1" x14ac:dyDescent="0.25">
      <c r="B63" s="6"/>
      <c r="C63" s="172" t="s">
        <v>218</v>
      </c>
      <c r="D63" s="95">
        <f>I56*0.05</f>
        <v>56.25</v>
      </c>
      <c r="E63" s="87">
        <v>1.2</v>
      </c>
      <c r="F63" s="87">
        <f>D63*E63</f>
        <v>67.5</v>
      </c>
      <c r="G63" s="87">
        <f>M_DMT!D12</f>
        <v>14.83</v>
      </c>
      <c r="H63" s="87">
        <f>F63*G63</f>
        <v>1001.03</v>
      </c>
    </row>
    <row r="64" spans="1:12" ht="20.100000000000001" customHeight="1" x14ac:dyDescent="0.25">
      <c r="B64" s="6"/>
      <c r="C64" s="171"/>
      <c r="D64" s="171"/>
      <c r="E64" s="171"/>
      <c r="F64" s="171"/>
      <c r="G64" s="171"/>
      <c r="H64" s="171"/>
      <c r="L64" s="163"/>
    </row>
    <row r="65" spans="1:9" ht="20.100000000000001" customHeight="1" x14ac:dyDescent="0.25">
      <c r="A65" s="177">
        <v>4</v>
      </c>
      <c r="B65" s="6" t="str">
        <f>IF(AND(A65=Orc!A36,C65=Orc!D36),"Ok","Conferir")</f>
        <v>Ok</v>
      </c>
      <c r="C65" s="11" t="s">
        <v>219</v>
      </c>
    </row>
    <row r="66" spans="1:9" ht="11.25" customHeight="1" x14ac:dyDescent="0.25">
      <c r="A66" s="177"/>
      <c r="B66" s="6"/>
      <c r="C66" s="11"/>
    </row>
    <row r="67" spans="1:9" ht="11.25" customHeight="1" x14ac:dyDescent="0.25">
      <c r="A67" s="177"/>
      <c r="B67" s="6"/>
      <c r="C67" s="11"/>
    </row>
    <row r="68" spans="1:9" ht="42.75" customHeight="1" x14ac:dyDescent="0.25">
      <c r="A68" s="1" t="s">
        <v>32</v>
      </c>
      <c r="B68" s="6"/>
      <c r="C68" s="498" t="str">
        <f>Orc!D37</f>
        <v>Aterro mecanizado de vala com retroescavadeira (capacidade da caçamba da retro: 0,26m³ / potência: 88HP), largura até 1,50m, profundidade de 1,50 a 3,0m, com solo argilo-arenoso</v>
      </c>
      <c r="D68" s="499"/>
      <c r="E68" s="499"/>
      <c r="F68" s="499"/>
      <c r="G68" s="499"/>
      <c r="I68" s="262">
        <f>H74</f>
        <v>40.299999999999997</v>
      </c>
    </row>
    <row r="69" spans="1:9" ht="11.25" customHeight="1" x14ac:dyDescent="0.25">
      <c r="A69" s="177"/>
      <c r="B69" s="6"/>
      <c r="C69" s="11"/>
    </row>
    <row r="70" spans="1:9" ht="11.25" customHeight="1" x14ac:dyDescent="0.25">
      <c r="A70" s="177"/>
      <c r="B70" s="6"/>
      <c r="C70" s="450"/>
      <c r="D70" s="450" t="s">
        <v>265</v>
      </c>
      <c r="E70" s="450" t="s">
        <v>266</v>
      </c>
      <c r="F70" s="450" t="s">
        <v>47</v>
      </c>
      <c r="G70" s="450" t="s">
        <v>49</v>
      </c>
      <c r="H70" s="450" t="s">
        <v>339</v>
      </c>
    </row>
    <row r="71" spans="1:9" ht="20.25" customHeight="1" thickBot="1" x14ac:dyDescent="0.3">
      <c r="A71" s="177"/>
      <c r="B71" s="6"/>
      <c r="C71" s="451"/>
      <c r="D71" s="451"/>
      <c r="E71" s="451"/>
      <c r="F71" s="451"/>
      <c r="G71" s="451"/>
      <c r="H71" s="451"/>
    </row>
    <row r="72" spans="1:9" ht="18.75" customHeight="1" thickTop="1" x14ac:dyDescent="0.25">
      <c r="A72" s="177"/>
      <c r="B72" s="6"/>
      <c r="C72" s="200" t="s">
        <v>263</v>
      </c>
      <c r="D72" s="200">
        <f>125-3.8</f>
        <v>121.2</v>
      </c>
      <c r="E72" s="202">
        <v>1.6</v>
      </c>
      <c r="F72" s="202">
        <f>E72*D72</f>
        <v>193.92</v>
      </c>
      <c r="G72" s="202">
        <v>0.1</v>
      </c>
      <c r="H72" s="202">
        <f>G72*F72</f>
        <v>19.39</v>
      </c>
    </row>
    <row r="73" spans="1:9" ht="19.5" customHeight="1" x14ac:dyDescent="0.25">
      <c r="A73" s="177"/>
      <c r="B73" s="6"/>
      <c r="C73" s="200" t="s">
        <v>264</v>
      </c>
      <c r="D73" s="200">
        <v>123</v>
      </c>
      <c r="E73" s="202">
        <v>1.7</v>
      </c>
      <c r="F73" s="202">
        <f>E73*D73</f>
        <v>209.1</v>
      </c>
      <c r="G73" s="202">
        <v>0.1</v>
      </c>
      <c r="H73" s="202">
        <f>G73*F73</f>
        <v>20.91</v>
      </c>
    </row>
    <row r="74" spans="1:9" ht="18.75" customHeight="1" x14ac:dyDescent="0.25">
      <c r="A74" s="177"/>
      <c r="B74" s="6"/>
      <c r="C74" s="223"/>
      <c r="D74" s="223"/>
      <c r="E74" s="223"/>
      <c r="F74" s="223"/>
      <c r="G74" s="223"/>
      <c r="H74" s="175">
        <f>H72+H73</f>
        <v>40.299999999999997</v>
      </c>
    </row>
    <row r="75" spans="1:9" ht="11.25" customHeight="1" x14ac:dyDescent="0.25">
      <c r="A75" s="177"/>
      <c r="B75" s="6"/>
      <c r="C75" s="11"/>
    </row>
    <row r="76" spans="1:9" ht="11.25" customHeight="1" x14ac:dyDescent="0.25">
      <c r="A76" s="177"/>
      <c r="B76" s="6"/>
      <c r="C76" s="11"/>
    </row>
    <row r="77" spans="1:9" ht="20.100000000000001" customHeight="1" x14ac:dyDescent="0.25">
      <c r="A77" s="1" t="s">
        <v>309</v>
      </c>
      <c r="B77" s="6"/>
      <c r="C77" s="8" t="str">
        <f>Orc!D38</f>
        <v>Regularização e compactação de subleito, até 20 cm de espessura - Mecanizada</v>
      </c>
      <c r="I77" s="262">
        <f>F82</f>
        <v>403.02</v>
      </c>
    </row>
    <row r="78" spans="1:9" ht="20.100000000000001" customHeight="1" x14ac:dyDescent="0.25">
      <c r="A78" s="177"/>
      <c r="B78" s="6"/>
      <c r="C78" s="450"/>
      <c r="D78" s="450" t="s">
        <v>265</v>
      </c>
      <c r="E78" s="450" t="s">
        <v>266</v>
      </c>
      <c r="F78" s="450" t="s">
        <v>47</v>
      </c>
      <c r="G78" s="497"/>
    </row>
    <row r="79" spans="1:9" ht="20.100000000000001" customHeight="1" thickBot="1" x14ac:dyDescent="0.3">
      <c r="A79" s="177"/>
      <c r="B79" s="6"/>
      <c r="C79" s="451"/>
      <c r="D79" s="451"/>
      <c r="E79" s="451"/>
      <c r="F79" s="451"/>
      <c r="G79" s="497"/>
    </row>
    <row r="80" spans="1:9" ht="20.100000000000001" customHeight="1" thickTop="1" x14ac:dyDescent="0.25">
      <c r="A80" s="177"/>
      <c r="B80" s="6"/>
      <c r="C80" s="200" t="s">
        <v>263</v>
      </c>
      <c r="D80" s="200">
        <f>D72</f>
        <v>121.2</v>
      </c>
      <c r="E80" s="202">
        <v>1.6</v>
      </c>
      <c r="F80" s="202">
        <f>E80*D80</f>
        <v>193.92</v>
      </c>
    </row>
    <row r="81" spans="1:12" ht="20.100000000000001" customHeight="1" x14ac:dyDescent="0.25">
      <c r="A81" s="177"/>
      <c r="B81" s="6"/>
      <c r="C81" s="200" t="s">
        <v>264</v>
      </c>
      <c r="D81" s="200">
        <f>D73</f>
        <v>123</v>
      </c>
      <c r="E81" s="202">
        <v>1.7</v>
      </c>
      <c r="F81" s="202">
        <f>E81*D81</f>
        <v>209.1</v>
      </c>
    </row>
    <row r="82" spans="1:12" ht="20.100000000000001" customHeight="1" x14ac:dyDescent="0.25">
      <c r="A82" s="177"/>
      <c r="B82" s="6"/>
      <c r="C82" s="223"/>
      <c r="D82" s="223"/>
      <c r="E82" s="223"/>
      <c r="F82" s="175">
        <f>F80+F81</f>
        <v>403.02</v>
      </c>
    </row>
    <row r="83" spans="1:12" ht="20.100000000000001" customHeight="1" x14ac:dyDescent="0.25">
      <c r="A83" s="177"/>
      <c r="B83" s="6"/>
      <c r="C83" s="223"/>
      <c r="D83" s="223"/>
      <c r="E83" s="223"/>
      <c r="F83" s="223"/>
      <c r="G83" s="223"/>
    </row>
    <row r="84" spans="1:12" ht="20.100000000000001" customHeight="1" x14ac:dyDescent="0.25">
      <c r="A84" s="1" t="s">
        <v>310</v>
      </c>
      <c r="B84" s="6" t="str">
        <f>IF(AND(A84=Orc!A39,C84=Orc!D39),"Ok","Conferir")</f>
        <v>Conferir</v>
      </c>
      <c r="C84" s="8" t="s">
        <v>164</v>
      </c>
      <c r="I84" s="262">
        <f>F89</f>
        <v>403.02</v>
      </c>
    </row>
    <row r="85" spans="1:12" ht="20.100000000000001" customHeight="1" x14ac:dyDescent="0.25">
      <c r="B85" s="6"/>
      <c r="C85" s="450" t="s">
        <v>26</v>
      </c>
      <c r="D85" s="450" t="s">
        <v>265</v>
      </c>
      <c r="E85" s="450" t="s">
        <v>266</v>
      </c>
      <c r="F85" s="450" t="s">
        <v>47</v>
      </c>
      <c r="G85" s="497"/>
    </row>
    <row r="86" spans="1:12" ht="20.100000000000001" customHeight="1" thickBot="1" x14ac:dyDescent="0.3">
      <c r="B86" s="6"/>
      <c r="C86" s="451"/>
      <c r="D86" s="451"/>
      <c r="E86" s="451"/>
      <c r="F86" s="451"/>
      <c r="G86" s="497"/>
    </row>
    <row r="87" spans="1:12" ht="20.100000000000001" customHeight="1" thickTop="1" x14ac:dyDescent="0.25">
      <c r="C87" s="200" t="s">
        <v>263</v>
      </c>
      <c r="D87" s="200">
        <f>D80</f>
        <v>121.2</v>
      </c>
      <c r="E87" s="202">
        <v>1.6</v>
      </c>
      <c r="F87" s="202">
        <f>E87*D87</f>
        <v>193.92</v>
      </c>
    </row>
    <row r="88" spans="1:12" ht="20.100000000000001" customHeight="1" x14ac:dyDescent="0.25">
      <c r="C88" s="200" t="s">
        <v>264</v>
      </c>
      <c r="D88" s="200">
        <f>D81</f>
        <v>123</v>
      </c>
      <c r="E88" s="202">
        <v>1.7</v>
      </c>
      <c r="F88" s="202">
        <f>E88*D88</f>
        <v>209.1</v>
      </c>
    </row>
    <row r="89" spans="1:12" ht="20.100000000000001" customHeight="1" x14ac:dyDescent="0.25">
      <c r="C89" s="223"/>
      <c r="D89" s="223"/>
      <c r="E89" s="223"/>
      <c r="F89" s="175">
        <f>F87+F88</f>
        <v>403.02</v>
      </c>
    </row>
    <row r="90" spans="1:12" ht="20.100000000000001" customHeight="1" x14ac:dyDescent="0.25">
      <c r="C90" s="13"/>
    </row>
    <row r="91" spans="1:12" ht="20.100000000000001" customHeight="1" x14ac:dyDescent="0.25">
      <c r="B91" s="6"/>
      <c r="C91" s="11" t="s">
        <v>220</v>
      </c>
    </row>
    <row r="92" spans="1:12" ht="20.100000000000001" customHeight="1" x14ac:dyDescent="0.25">
      <c r="A92" s="1" t="s">
        <v>311</v>
      </c>
      <c r="B92" s="6" t="str">
        <f>IF(AND(A92=Orc!A41,C92=Orc!D41),"Ok","Conferir")</f>
        <v>Ok</v>
      </c>
      <c r="C92" s="8" t="s">
        <v>229</v>
      </c>
      <c r="I92" s="230">
        <f>H95</f>
        <v>286.81</v>
      </c>
    </row>
    <row r="93" spans="1:12" ht="20.100000000000001" customHeight="1" x14ac:dyDescent="0.25">
      <c r="B93" s="6"/>
      <c r="C93" s="494" t="s">
        <v>26</v>
      </c>
      <c r="D93" s="494" t="s">
        <v>260</v>
      </c>
      <c r="E93" s="500" t="s">
        <v>163</v>
      </c>
      <c r="F93" s="494" t="s">
        <v>41</v>
      </c>
      <c r="G93" s="494" t="s">
        <v>46</v>
      </c>
      <c r="H93" s="494" t="s">
        <v>45</v>
      </c>
    </row>
    <row r="94" spans="1:12" ht="20.100000000000001" customHeight="1" x14ac:dyDescent="0.25">
      <c r="B94" s="6"/>
      <c r="C94" s="495"/>
      <c r="D94" s="495"/>
      <c r="E94" s="501"/>
      <c r="F94" s="495"/>
      <c r="G94" s="495"/>
      <c r="H94" s="495"/>
    </row>
    <row r="95" spans="1:12" ht="20.100000000000001" customHeight="1" x14ac:dyDescent="0.25">
      <c r="B95" s="6"/>
      <c r="C95" s="224" t="s">
        <v>283</v>
      </c>
      <c r="D95" s="225">
        <f>I84*0.04</f>
        <v>16.12</v>
      </c>
      <c r="E95" s="222">
        <v>1.2</v>
      </c>
      <c r="F95" s="222">
        <f>D95*E95</f>
        <v>19.34</v>
      </c>
      <c r="G95" s="222">
        <f>M_DMT!D12</f>
        <v>14.83</v>
      </c>
      <c r="H95" s="222">
        <f>G95*F95</f>
        <v>286.81</v>
      </c>
    </row>
    <row r="96" spans="1:12" ht="20.100000000000001" customHeight="1" x14ac:dyDescent="0.25">
      <c r="B96" s="6"/>
      <c r="C96" s="210" t="s">
        <v>215</v>
      </c>
      <c r="D96" s="171"/>
      <c r="E96" s="171"/>
      <c r="F96" s="171"/>
      <c r="G96" s="171"/>
      <c r="H96" s="171"/>
      <c r="L96" s="163"/>
    </row>
    <row r="97" spans="1:12" ht="20.100000000000001" customHeight="1" x14ac:dyDescent="0.25">
      <c r="B97" s="6"/>
      <c r="C97" s="210"/>
      <c r="D97" s="171"/>
      <c r="E97" s="171"/>
      <c r="F97" s="171"/>
      <c r="G97" s="171"/>
      <c r="H97" s="171"/>
      <c r="L97" s="163"/>
    </row>
    <row r="98" spans="1:12" ht="20.100000000000001" customHeight="1" x14ac:dyDescent="0.25">
      <c r="A98" s="177"/>
      <c r="B98" s="6"/>
      <c r="C98" s="210"/>
      <c r="D98" s="171"/>
      <c r="E98" s="171"/>
      <c r="F98" s="171"/>
      <c r="G98" s="171"/>
      <c r="H98" s="171"/>
      <c r="L98" s="163"/>
    </row>
    <row r="99" spans="1:12" ht="20.100000000000001" customHeight="1" x14ac:dyDescent="0.25">
      <c r="A99" s="1" t="s">
        <v>332</v>
      </c>
      <c r="B99" s="6"/>
      <c r="C99" s="171" t="str">
        <f>Orc!D42</f>
        <v>Execução de meio-fio pré-moldado (1,00x0,30x0,13x0,15), inclus. carga, transporte</v>
      </c>
      <c r="D99" s="171"/>
      <c r="E99" s="171"/>
      <c r="F99" s="171"/>
      <c r="G99" s="171"/>
      <c r="H99" s="171"/>
      <c r="I99" s="230">
        <f>E102</f>
        <v>148</v>
      </c>
      <c r="L99" s="163"/>
    </row>
    <row r="100" spans="1:12" ht="20.100000000000001" customHeight="1" x14ac:dyDescent="0.25">
      <c r="B100" s="6"/>
      <c r="C100" s="449" t="s">
        <v>26</v>
      </c>
      <c r="D100" s="449"/>
      <c r="E100" s="496" t="s">
        <v>285</v>
      </c>
      <c r="F100" s="448"/>
      <c r="G100" s="448"/>
      <c r="H100" s="171"/>
      <c r="L100" s="163"/>
    </row>
    <row r="101" spans="1:12" ht="20.100000000000001" customHeight="1" x14ac:dyDescent="0.25">
      <c r="B101" s="6"/>
      <c r="C101" s="449"/>
      <c r="D101" s="449"/>
      <c r="E101" s="496"/>
      <c r="F101" s="448"/>
      <c r="G101" s="448"/>
      <c r="H101" s="171"/>
      <c r="L101" s="163"/>
    </row>
    <row r="102" spans="1:12" ht="20.100000000000001" customHeight="1" x14ac:dyDescent="0.25">
      <c r="B102" s="6"/>
      <c r="C102" s="449" t="s">
        <v>278</v>
      </c>
      <c r="D102" s="449"/>
      <c r="E102" s="191">
        <f>125+23</f>
        <v>148</v>
      </c>
      <c r="F102" s="261"/>
      <c r="G102" s="261"/>
      <c r="H102" s="171"/>
      <c r="L102" s="163"/>
    </row>
    <row r="103" spans="1:12" ht="20.100000000000001" customHeight="1" x14ac:dyDescent="0.25">
      <c r="B103" s="6"/>
      <c r="C103" s="11"/>
    </row>
    <row r="104" spans="1:12" ht="20.100000000000001" customHeight="1" x14ac:dyDescent="0.25">
      <c r="A104" s="1">
        <v>5</v>
      </c>
      <c r="B104" s="6" t="e">
        <f>IF(AND(A104=Orc!#REF!,C104=Orc!#REF!),"Ok","Conferir")</f>
        <v>#REF!</v>
      </c>
      <c r="C104" s="11" t="s">
        <v>267</v>
      </c>
    </row>
    <row r="105" spans="1:12" ht="20.100000000000001" customHeight="1" x14ac:dyDescent="0.25">
      <c r="A105" s="1" t="s">
        <v>212</v>
      </c>
      <c r="B105" s="6" t="str">
        <f>IF(AND(A105=Orc!A46,C105=Orc!D46),"Ok","Conferir")</f>
        <v>Ok</v>
      </c>
      <c r="C105" s="8" t="str">
        <f>Orc!D46</f>
        <v>Placa de sinalização refletiva com reaproveitamento de chapa de aço</v>
      </c>
      <c r="I105" s="229">
        <f>F110</f>
        <v>0.2</v>
      </c>
    </row>
    <row r="106" spans="1:12" ht="20.100000000000001" customHeight="1" x14ac:dyDescent="0.25">
      <c r="C106" s="456" t="s">
        <v>159</v>
      </c>
      <c r="D106" s="457"/>
      <c r="E106" s="457"/>
      <c r="F106" s="458"/>
    </row>
    <row r="107" spans="1:12" ht="20.100000000000001" customHeight="1" x14ac:dyDescent="0.25">
      <c r="C107" s="452" t="s">
        <v>26</v>
      </c>
      <c r="D107" s="452" t="s">
        <v>158</v>
      </c>
      <c r="E107" s="452" t="s">
        <v>157</v>
      </c>
      <c r="F107" s="452" t="s">
        <v>38</v>
      </c>
      <c r="G107" s="183"/>
    </row>
    <row r="108" spans="1:12" ht="20.100000000000001" customHeight="1" thickBot="1" x14ac:dyDescent="0.3">
      <c r="C108" s="455"/>
      <c r="D108" s="455"/>
      <c r="E108" s="455"/>
      <c r="F108" s="455"/>
      <c r="G108" s="183"/>
    </row>
    <row r="109" spans="1:12" ht="20.100000000000001" customHeight="1" thickTop="1" x14ac:dyDescent="0.25">
      <c r="C109" s="168" t="s">
        <v>340</v>
      </c>
      <c r="D109" s="15">
        <v>0.2</v>
      </c>
      <c r="E109" s="15">
        <v>1</v>
      </c>
      <c r="F109" s="188">
        <f t="shared" ref="F109" si="0">ROUNDUP(D109*E109,2)</f>
        <v>0.2</v>
      </c>
      <c r="G109" s="183"/>
    </row>
    <row r="110" spans="1:12" ht="20.100000000000001" customHeight="1" x14ac:dyDescent="0.25">
      <c r="C110" s="459" t="s">
        <v>272</v>
      </c>
      <c r="D110" s="460"/>
      <c r="E110" s="15"/>
      <c r="F110" s="188">
        <f>SUM(F109:F109)</f>
        <v>0.2</v>
      </c>
      <c r="G110" s="183"/>
    </row>
    <row r="111" spans="1:12" ht="20.100000000000001" customHeight="1" x14ac:dyDescent="0.25">
      <c r="C111" s="16"/>
      <c r="D111" s="16"/>
      <c r="E111" s="14"/>
      <c r="F111" s="14"/>
    </row>
    <row r="113" spans="1:9" ht="20.100000000000001" customHeight="1" x14ac:dyDescent="0.25">
      <c r="A113" s="1" t="s">
        <v>313</v>
      </c>
      <c r="B113" s="6" t="str">
        <f>IF(AND(A113=Orc!A47,C113=Orc!D47),"Ok","Conferir")</f>
        <v>Conferir</v>
      </c>
      <c r="C113" s="8" t="s">
        <v>44</v>
      </c>
      <c r="I113" s="229">
        <f>F117</f>
        <v>3.1</v>
      </c>
    </row>
    <row r="114" spans="1:9" ht="20.100000000000001" customHeight="1" x14ac:dyDescent="0.25">
      <c r="C114" s="452" t="s">
        <v>160</v>
      </c>
      <c r="D114" s="452" t="s">
        <v>48</v>
      </c>
      <c r="E114" s="452" t="s">
        <v>321</v>
      </c>
      <c r="F114" s="452" t="s">
        <v>320</v>
      </c>
    </row>
    <row r="115" spans="1:9" ht="20.100000000000001" customHeight="1" thickBot="1" x14ac:dyDescent="0.3">
      <c r="C115" s="455"/>
      <c r="D115" s="455"/>
      <c r="E115" s="455"/>
      <c r="F115" s="455"/>
    </row>
    <row r="116" spans="1:9" ht="20.100000000000001" customHeight="1" thickTop="1" x14ac:dyDescent="0.25">
      <c r="C116" s="206" t="s">
        <v>268</v>
      </c>
      <c r="D116" s="7">
        <v>1</v>
      </c>
      <c r="E116" s="7">
        <v>3.1</v>
      </c>
      <c r="F116" s="7">
        <f>D116*E116</f>
        <v>3.1</v>
      </c>
    </row>
    <row r="117" spans="1:9" ht="20.100000000000001" customHeight="1" x14ac:dyDescent="0.25">
      <c r="C117" s="185" t="s">
        <v>39</v>
      </c>
      <c r="D117" s="7"/>
      <c r="E117" s="7"/>
      <c r="F117" s="7">
        <f t="shared" ref="F117" si="1">SUM(F116:F116)</f>
        <v>3.1</v>
      </c>
    </row>
    <row r="118" spans="1:9" ht="20.100000000000001" customHeight="1" x14ac:dyDescent="0.25">
      <c r="C118" s="161"/>
      <c r="D118" s="12"/>
      <c r="E118" s="85"/>
    </row>
    <row r="119" spans="1:9" ht="20.100000000000001" customHeight="1" x14ac:dyDescent="0.25">
      <c r="A119" s="1" t="s">
        <v>314</v>
      </c>
      <c r="B119" s="6" t="str">
        <f>IF(AND(A119=Orc!A48,C119=Orc!D48),"Ok","Conferir")</f>
        <v>Ok</v>
      </c>
      <c r="C119" s="8" t="s">
        <v>211</v>
      </c>
      <c r="I119" s="229">
        <f>H122</f>
        <v>0.1</v>
      </c>
    </row>
    <row r="120" spans="1:9" ht="20.100000000000001" customHeight="1" x14ac:dyDescent="0.25">
      <c r="C120" s="452" t="s">
        <v>269</v>
      </c>
      <c r="D120" s="452" t="s">
        <v>270</v>
      </c>
      <c r="E120" s="452" t="s">
        <v>49</v>
      </c>
      <c r="F120" s="452" t="s">
        <v>166</v>
      </c>
      <c r="G120" s="452" t="s">
        <v>165</v>
      </c>
      <c r="H120" s="452" t="s">
        <v>36</v>
      </c>
    </row>
    <row r="121" spans="1:9" ht="20.100000000000001" customHeight="1" thickBot="1" x14ac:dyDescent="0.3">
      <c r="C121" s="455"/>
      <c r="D121" s="455"/>
      <c r="E121" s="455"/>
      <c r="F121" s="455"/>
      <c r="G121" s="455"/>
      <c r="H121" s="455"/>
    </row>
    <row r="122" spans="1:9" ht="20.100000000000001" customHeight="1" thickTop="1" x14ac:dyDescent="0.25">
      <c r="C122" s="15">
        <v>0.4</v>
      </c>
      <c r="D122" s="15">
        <v>0.4</v>
      </c>
      <c r="E122" s="15">
        <v>0.6</v>
      </c>
      <c r="F122" s="84">
        <f>E122*D122*C122</f>
        <v>9.6000000000000002E-2</v>
      </c>
      <c r="G122" s="95">
        <v>1</v>
      </c>
      <c r="H122" s="228">
        <f>F122*G122</f>
        <v>0.1</v>
      </c>
    </row>
    <row r="123" spans="1:9" ht="20.100000000000001" customHeight="1" x14ac:dyDescent="0.25">
      <c r="C123" s="16"/>
      <c r="D123" s="16"/>
      <c r="E123" s="16"/>
      <c r="F123" s="93"/>
      <c r="G123" s="98"/>
      <c r="H123" s="14"/>
    </row>
    <row r="124" spans="1:9" ht="20.100000000000001" customHeight="1" x14ac:dyDescent="0.25">
      <c r="A124" s="1" t="s">
        <v>315</v>
      </c>
      <c r="B124" s="6" t="str">
        <f>IF(AND(A124=Orc!A49,C124=Orc!D49),"Ok","Conferir")</f>
        <v>Ok</v>
      </c>
      <c r="C124" s="8" t="str">
        <f>Orc!D49</f>
        <v>Concreto magro</v>
      </c>
      <c r="I124" s="230">
        <f>I127</f>
        <v>0.1</v>
      </c>
    </row>
    <row r="125" spans="1:9" ht="20.100000000000001" customHeight="1" x14ac:dyDescent="0.25">
      <c r="C125" s="452" t="s">
        <v>271</v>
      </c>
      <c r="D125" s="452" t="s">
        <v>167</v>
      </c>
      <c r="E125" s="452" t="s">
        <v>166</v>
      </c>
      <c r="F125" s="452" t="s">
        <v>165</v>
      </c>
      <c r="G125" s="452" t="s">
        <v>168</v>
      </c>
      <c r="H125" s="452" t="s">
        <v>169</v>
      </c>
      <c r="I125" s="452" t="s">
        <v>170</v>
      </c>
    </row>
    <row r="126" spans="1:9" ht="20.100000000000001" customHeight="1" thickBot="1" x14ac:dyDescent="0.3">
      <c r="C126" s="455"/>
      <c r="D126" s="455"/>
      <c r="E126" s="455"/>
      <c r="F126" s="455"/>
      <c r="G126" s="455"/>
      <c r="H126" s="455"/>
      <c r="I126" s="455"/>
    </row>
    <row r="127" spans="1:9" ht="20.100000000000001" customHeight="1" thickTop="1" x14ac:dyDescent="0.25">
      <c r="C127" s="94">
        <v>2E-3</v>
      </c>
      <c r="D127" s="15">
        <v>0.5</v>
      </c>
      <c r="E127" s="84">
        <f>C127*D127</f>
        <v>1E-3</v>
      </c>
      <c r="F127" s="15">
        <f>G122</f>
        <v>1</v>
      </c>
      <c r="G127" s="95">
        <f>E127*F127</f>
        <v>0</v>
      </c>
      <c r="H127" s="95">
        <f>H122</f>
        <v>0.1</v>
      </c>
      <c r="I127" s="207">
        <f>H127-G127</f>
        <v>0.1</v>
      </c>
    </row>
    <row r="128" spans="1:9" ht="20.100000000000001" customHeight="1" x14ac:dyDescent="0.25">
      <c r="C128" s="190"/>
      <c r="D128" s="16"/>
      <c r="E128" s="93"/>
      <c r="F128" s="16"/>
      <c r="G128" s="98"/>
      <c r="H128" s="98"/>
      <c r="I128" s="157"/>
    </row>
    <row r="130" spans="1:9" ht="20.100000000000001" customHeight="1" x14ac:dyDescent="0.25">
      <c r="A130" s="177">
        <v>6</v>
      </c>
      <c r="B130" s="177"/>
      <c r="C130" s="11" t="str">
        <f>Orc!D53</f>
        <v>DRENAGEM</v>
      </c>
    </row>
    <row r="131" spans="1:9" ht="20.100000000000001" customHeight="1" x14ac:dyDescent="0.25">
      <c r="A131" s="1" t="s">
        <v>304</v>
      </c>
      <c r="C131" s="8" t="str">
        <f>Orc!D54</f>
        <v>Escavação manual de valas - material de 1ª categoria</v>
      </c>
      <c r="I131" s="230">
        <f>G134</f>
        <v>1.5</v>
      </c>
    </row>
    <row r="132" spans="1:9" ht="20.100000000000001" customHeight="1" x14ac:dyDescent="0.25">
      <c r="C132" s="454" t="s">
        <v>238</v>
      </c>
      <c r="D132" s="454" t="s">
        <v>40</v>
      </c>
      <c r="E132" s="454" t="s">
        <v>49</v>
      </c>
      <c r="F132" s="454" t="s">
        <v>347</v>
      </c>
      <c r="G132" s="454" t="s">
        <v>166</v>
      </c>
      <c r="I132" s="261"/>
    </row>
    <row r="133" spans="1:9" ht="20.100000000000001" customHeight="1" x14ac:dyDescent="0.25">
      <c r="C133" s="454"/>
      <c r="D133" s="454"/>
      <c r="E133" s="454"/>
      <c r="F133" s="454"/>
      <c r="G133" s="454"/>
      <c r="I133" s="261"/>
    </row>
    <row r="134" spans="1:9" ht="20.100000000000001" customHeight="1" x14ac:dyDescent="0.25">
      <c r="C134" s="189">
        <v>3</v>
      </c>
      <c r="D134" s="189">
        <v>0.5</v>
      </c>
      <c r="E134" s="189">
        <v>0.5</v>
      </c>
      <c r="F134" s="189">
        <v>2</v>
      </c>
      <c r="G134" s="189">
        <f>C134*D134*E134*F134</f>
        <v>1.5</v>
      </c>
      <c r="I134" s="261"/>
    </row>
    <row r="135" spans="1:9" ht="20.100000000000001" customHeight="1" x14ac:dyDescent="0.25">
      <c r="I135" s="261"/>
    </row>
    <row r="136" spans="1:9" ht="20.100000000000001" customHeight="1" x14ac:dyDescent="0.25">
      <c r="A136" s="1" t="s">
        <v>316</v>
      </c>
      <c r="C136" s="8" t="str">
        <f>Orc!D55</f>
        <v>Reaterro com material da escavação</v>
      </c>
      <c r="I136" s="230">
        <f>G139</f>
        <v>1.5</v>
      </c>
    </row>
    <row r="137" spans="1:9" ht="20.100000000000001" customHeight="1" x14ac:dyDescent="0.25">
      <c r="C137" s="454" t="s">
        <v>238</v>
      </c>
      <c r="D137" s="454" t="s">
        <v>40</v>
      </c>
      <c r="E137" s="454" t="s">
        <v>49</v>
      </c>
      <c r="F137" s="454" t="s">
        <v>347</v>
      </c>
      <c r="G137" s="454" t="s">
        <v>166</v>
      </c>
    </row>
    <row r="138" spans="1:9" ht="20.100000000000001" customHeight="1" x14ac:dyDescent="0.25">
      <c r="C138" s="454"/>
      <c r="D138" s="454"/>
      <c r="E138" s="454"/>
      <c r="F138" s="454"/>
      <c r="G138" s="454"/>
    </row>
    <row r="139" spans="1:9" ht="20.100000000000001" customHeight="1" x14ac:dyDescent="0.25">
      <c r="C139" s="189">
        <v>3</v>
      </c>
      <c r="D139" s="189">
        <v>0.5</v>
      </c>
      <c r="E139" s="189">
        <v>0.5</v>
      </c>
      <c r="F139" s="189">
        <v>2</v>
      </c>
      <c r="G139" s="189">
        <f>C139*D139*E139*F139</f>
        <v>1.5</v>
      </c>
    </row>
    <row r="141" spans="1:9" ht="20.100000000000001" customHeight="1" x14ac:dyDescent="0.25">
      <c r="A141" s="1" t="s">
        <v>345</v>
      </c>
      <c r="C141" s="8" t="str">
        <f>Orc!D56</f>
        <v>Caixa de boca de lobo 60x120 (internamente) pre mold ou alvenaria , com tampa de concreto armado</v>
      </c>
    </row>
    <row r="142" spans="1:9" ht="20.100000000000001" customHeight="1" x14ac:dyDescent="0.25">
      <c r="C142" s="454" t="s">
        <v>347</v>
      </c>
    </row>
    <row r="143" spans="1:9" ht="20.100000000000001" customHeight="1" x14ac:dyDescent="0.25">
      <c r="C143" s="454"/>
    </row>
    <row r="144" spans="1:9" ht="20.100000000000001" customHeight="1" x14ac:dyDescent="0.25">
      <c r="C144" s="292">
        <v>2</v>
      </c>
    </row>
    <row r="146" spans="1:9" ht="20.100000000000001" customHeight="1" x14ac:dyDescent="0.25">
      <c r="A146" s="1">
        <v>7</v>
      </c>
      <c r="B146" s="6" t="str">
        <f>IF(AND(A146=Orc!A59,C146=Orc!D59),"Ok","Conferir")</f>
        <v>Conferir</v>
      </c>
      <c r="C146" s="11" t="s">
        <v>161</v>
      </c>
    </row>
    <row r="147" spans="1:9" ht="20.100000000000001" customHeight="1" x14ac:dyDescent="0.25">
      <c r="A147" s="1" t="s">
        <v>342</v>
      </c>
      <c r="B147" s="6" t="str">
        <f>IF(AND(A147=Orc!A60,C147=Orc!D60),"Ok","Conferir")</f>
        <v>Conferir</v>
      </c>
      <c r="C147" s="8" t="s">
        <v>233</v>
      </c>
      <c r="I147" s="230">
        <f>H151</f>
        <v>2.1</v>
      </c>
    </row>
    <row r="148" spans="1:9" ht="9.9499999999999993" customHeight="1" x14ac:dyDescent="0.25"/>
    <row r="149" spans="1:9" ht="20.100000000000001" customHeight="1" x14ac:dyDescent="0.25">
      <c r="C149" s="462"/>
      <c r="D149" s="452" t="s">
        <v>238</v>
      </c>
      <c r="E149" s="452" t="s">
        <v>40</v>
      </c>
      <c r="F149" s="452" t="s">
        <v>47</v>
      </c>
      <c r="G149" s="452" t="s">
        <v>275</v>
      </c>
      <c r="H149" s="452" t="s">
        <v>274</v>
      </c>
    </row>
    <row r="150" spans="1:9" ht="20.100000000000001" customHeight="1" x14ac:dyDescent="0.25">
      <c r="C150" s="462"/>
      <c r="D150" s="453"/>
      <c r="E150" s="453"/>
      <c r="F150" s="453"/>
      <c r="G150" s="453"/>
      <c r="H150" s="453"/>
    </row>
    <row r="151" spans="1:9" ht="20.100000000000001" customHeight="1" x14ac:dyDescent="0.25">
      <c r="C151" s="16"/>
      <c r="D151" s="189">
        <v>4.2</v>
      </c>
      <c r="E151" s="185">
        <v>0.25</v>
      </c>
      <c r="F151" s="208">
        <f>ROUNDUP(D151*E151,2)</f>
        <v>1.05</v>
      </c>
      <c r="G151" s="185">
        <v>2</v>
      </c>
      <c r="H151" s="186">
        <f>ROUNDUP(F151*G151,2)</f>
        <v>2.1</v>
      </c>
    </row>
    <row r="152" spans="1:9" ht="20.100000000000001" customHeight="1" x14ac:dyDescent="0.25">
      <c r="B152" s="6"/>
      <c r="C152" s="11"/>
    </row>
    <row r="153" spans="1:9" ht="20.100000000000001" customHeight="1" x14ac:dyDescent="0.25">
      <c r="A153" s="1" t="s">
        <v>343</v>
      </c>
      <c r="B153" s="6" t="e">
        <f>IF(AND(A153=Orc!#REF!,C153=Orc!#REF!),"Ok","Conferir")</f>
        <v>#REF!</v>
      </c>
      <c r="C153" s="8" t="str">
        <f>Orc!D61</f>
        <v>Concreto magro</v>
      </c>
      <c r="I153" s="230">
        <f>F156</f>
        <v>0.13</v>
      </c>
    </row>
    <row r="154" spans="1:9" ht="20.100000000000001" customHeight="1" x14ac:dyDescent="0.25">
      <c r="D154" s="452" t="s">
        <v>47</v>
      </c>
      <c r="E154" s="452" t="s">
        <v>276</v>
      </c>
      <c r="F154" s="452" t="s">
        <v>37</v>
      </c>
    </row>
    <row r="155" spans="1:9" ht="20.100000000000001" customHeight="1" x14ac:dyDescent="0.25">
      <c r="D155" s="453"/>
      <c r="E155" s="453"/>
      <c r="F155" s="453"/>
    </row>
    <row r="156" spans="1:9" ht="20.100000000000001" customHeight="1" x14ac:dyDescent="0.25">
      <c r="D156" s="184">
        <f>H151</f>
        <v>2.1</v>
      </c>
      <c r="E156" s="184">
        <v>0.06</v>
      </c>
      <c r="F156" s="184">
        <f>ROUNDUP(D156*E156,2)</f>
        <v>0.13</v>
      </c>
    </row>
    <row r="157" spans="1:9" ht="20.100000000000001" customHeight="1" x14ac:dyDescent="0.25">
      <c r="C157" s="461"/>
      <c r="D157" s="461"/>
      <c r="E157" s="461"/>
      <c r="F157" s="461"/>
      <c r="G157" s="12"/>
      <c r="H157" s="174"/>
    </row>
    <row r="158" spans="1:9" ht="20.100000000000001" customHeight="1" x14ac:dyDescent="0.25">
      <c r="A158" s="3"/>
      <c r="B158" s="3"/>
      <c r="C158" s="88"/>
    </row>
    <row r="159" spans="1:9" ht="20.100000000000001" customHeight="1" x14ac:dyDescent="0.25">
      <c r="A159" s="3"/>
      <c r="B159" s="3"/>
      <c r="C159" s="88"/>
    </row>
    <row r="160" spans="1:9" ht="20.100000000000001" customHeight="1" x14ac:dyDescent="0.25">
      <c r="A160" s="3"/>
      <c r="B160" s="3"/>
      <c r="C160" s="88"/>
    </row>
    <row r="161" spans="1:5" ht="20.100000000000001" customHeight="1" x14ac:dyDescent="0.25">
      <c r="A161" s="3"/>
      <c r="B161" s="3"/>
      <c r="C161" s="88"/>
    </row>
    <row r="162" spans="1:5" ht="20.100000000000001" customHeight="1" x14ac:dyDescent="0.25">
      <c r="A162" s="3"/>
      <c r="B162" s="3"/>
      <c r="C162" s="167"/>
      <c r="D162" s="167"/>
      <c r="E162" s="167"/>
    </row>
    <row r="163" spans="1:5" ht="20.100000000000001" customHeight="1" x14ac:dyDescent="0.25">
      <c r="A163" s="3"/>
      <c r="B163" s="3"/>
      <c r="C163" s="416" t="s">
        <v>328</v>
      </c>
      <c r="D163" s="416"/>
      <c r="E163" s="416"/>
    </row>
    <row r="164" spans="1:5" ht="20.100000000000001" customHeight="1" x14ac:dyDescent="0.25">
      <c r="A164" s="3"/>
      <c r="B164" s="3"/>
      <c r="C164" s="399" t="s">
        <v>329</v>
      </c>
      <c r="D164" s="399"/>
      <c r="E164" s="399"/>
    </row>
  </sheetData>
  <mergeCells count="120">
    <mergeCell ref="D61:D62"/>
    <mergeCell ref="C78:C79"/>
    <mergeCell ref="D78:D79"/>
    <mergeCell ref="E78:E79"/>
    <mergeCell ref="G61:G62"/>
    <mergeCell ref="H61:H62"/>
    <mergeCell ref="H48:H49"/>
    <mergeCell ref="C61:C62"/>
    <mergeCell ref="E61:E62"/>
    <mergeCell ref="F61:F62"/>
    <mergeCell ref="H93:H94"/>
    <mergeCell ref="F93:F94"/>
    <mergeCell ref="C100:D101"/>
    <mergeCell ref="E100:E101"/>
    <mergeCell ref="G78:G79"/>
    <mergeCell ref="C68:G68"/>
    <mergeCell ref="C70:C71"/>
    <mergeCell ref="D70:D71"/>
    <mergeCell ref="E70:E71"/>
    <mergeCell ref="F70:F71"/>
    <mergeCell ref="G93:G94"/>
    <mergeCell ref="E85:E86"/>
    <mergeCell ref="F85:F86"/>
    <mergeCell ref="F78:F79"/>
    <mergeCell ref="G70:G71"/>
    <mergeCell ref="H70:H71"/>
    <mergeCell ref="G85:G86"/>
    <mergeCell ref="F100:F101"/>
    <mergeCell ref="D93:D94"/>
    <mergeCell ref="E93:E94"/>
    <mergeCell ref="G100:G101"/>
    <mergeCell ref="C93:C94"/>
    <mergeCell ref="C40:C41"/>
    <mergeCell ref="D40:D41"/>
    <mergeCell ref="E40:E41"/>
    <mergeCell ref="E29:E30"/>
    <mergeCell ref="F48:F49"/>
    <mergeCell ref="C52:I52"/>
    <mergeCell ref="H40:H41"/>
    <mergeCell ref="D56:D57"/>
    <mergeCell ref="C53:I53"/>
    <mergeCell ref="F56:F57"/>
    <mergeCell ref="F40:F41"/>
    <mergeCell ref="G40:G41"/>
    <mergeCell ref="C38:D38"/>
    <mergeCell ref="C48:D49"/>
    <mergeCell ref="G48:G49"/>
    <mergeCell ref="E48:E49"/>
    <mergeCell ref="F137:F138"/>
    <mergeCell ref="A1:I1"/>
    <mergeCell ref="A4:I4"/>
    <mergeCell ref="A3:I3"/>
    <mergeCell ref="C8:C9"/>
    <mergeCell ref="C23:I23"/>
    <mergeCell ref="C22:D22"/>
    <mergeCell ref="D8:D9"/>
    <mergeCell ref="E8:E9"/>
    <mergeCell ref="H14:H15"/>
    <mergeCell ref="E16:G16"/>
    <mergeCell ref="E17:G17"/>
    <mergeCell ref="E14:G15"/>
    <mergeCell ref="F35:F36"/>
    <mergeCell ref="G56:G57"/>
    <mergeCell ref="E56:E57"/>
    <mergeCell ref="C51:D51"/>
    <mergeCell ref="C50:D50"/>
    <mergeCell ref="C35:C36"/>
    <mergeCell ref="D35:D36"/>
    <mergeCell ref="E35:E36"/>
    <mergeCell ref="C29:C30"/>
    <mergeCell ref="D29:D30"/>
    <mergeCell ref="G35:G36"/>
    <mergeCell ref="D132:D133"/>
    <mergeCell ref="E132:E133"/>
    <mergeCell ref="F132:F133"/>
    <mergeCell ref="G132:G133"/>
    <mergeCell ref="C163:E163"/>
    <mergeCell ref="C164:E164"/>
    <mergeCell ref="C125:C126"/>
    <mergeCell ref="C110:D110"/>
    <mergeCell ref="D107:D108"/>
    <mergeCell ref="E107:E108"/>
    <mergeCell ref="C157:F157"/>
    <mergeCell ref="C149:C150"/>
    <mergeCell ref="C107:C108"/>
    <mergeCell ref="C120:C121"/>
    <mergeCell ref="D120:D121"/>
    <mergeCell ref="E120:E121"/>
    <mergeCell ref="F120:F121"/>
    <mergeCell ref="C114:C115"/>
    <mergeCell ref="D114:D115"/>
    <mergeCell ref="F154:F155"/>
    <mergeCell ref="D154:D155"/>
    <mergeCell ref="C137:C138"/>
    <mergeCell ref="D137:D138"/>
    <mergeCell ref="E137:E138"/>
    <mergeCell ref="C102:D102"/>
    <mergeCell ref="D85:D86"/>
    <mergeCell ref="E154:E155"/>
    <mergeCell ref="C142:C143"/>
    <mergeCell ref="C85:C86"/>
    <mergeCell ref="I125:I126"/>
    <mergeCell ref="G125:G126"/>
    <mergeCell ref="H125:H126"/>
    <mergeCell ref="D149:D150"/>
    <mergeCell ref="E149:E150"/>
    <mergeCell ref="F149:F150"/>
    <mergeCell ref="G120:G121"/>
    <mergeCell ref="H120:H121"/>
    <mergeCell ref="C106:F106"/>
    <mergeCell ref="G149:G150"/>
    <mergeCell ref="H149:H150"/>
    <mergeCell ref="F107:F108"/>
    <mergeCell ref="D125:D126"/>
    <mergeCell ref="E125:E126"/>
    <mergeCell ref="F125:F126"/>
    <mergeCell ref="E114:E115"/>
    <mergeCell ref="F114:F115"/>
    <mergeCell ref="G137:G138"/>
    <mergeCell ref="C132:C133"/>
  </mergeCells>
  <pageMargins left="0.23622047244094491" right="0.23622047244094491" top="0.74803149606299213" bottom="0.74803149606299213" header="0.31496062992125984" footer="0.31496062992125984"/>
  <pageSetup paperSize="9" scale="82" fitToHeight="4" orientation="portrait" cellComments="asDisplayed"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37"/>
  <sheetViews>
    <sheetView view="pageBreakPreview" zoomScaleSheetLayoutView="100" zoomScalePageLayoutView="40" workbookViewId="0">
      <selection activeCell="L31" sqref="L31"/>
    </sheetView>
  </sheetViews>
  <sheetFormatPr defaultColWidth="9.140625" defaultRowHeight="20.100000000000001" customHeight="1" x14ac:dyDescent="0.25"/>
  <cols>
    <col min="1" max="1" width="6.28515625" style="1" customWidth="1"/>
    <col min="2" max="2" width="10.28515625" style="1" customWidth="1"/>
    <col min="3" max="3" width="14.7109375" style="8" customWidth="1"/>
    <col min="4" max="4" width="14.7109375" style="1" customWidth="1"/>
    <col min="5" max="5" width="25.140625" style="2" customWidth="1"/>
    <col min="6" max="9" width="14.7109375" style="3" customWidth="1"/>
    <col min="10" max="16384" width="9.140625" style="5"/>
  </cols>
  <sheetData>
    <row r="1" spans="1:16" s="3" customFormat="1" ht="20.100000000000001" customHeight="1" x14ac:dyDescent="0.25">
      <c r="A1" s="502" t="s">
        <v>213</v>
      </c>
      <c r="B1" s="502"/>
      <c r="C1" s="502"/>
      <c r="D1" s="502"/>
      <c r="E1" s="502"/>
      <c r="F1" s="502"/>
      <c r="G1" s="502"/>
      <c r="H1" s="502"/>
      <c r="I1" s="502"/>
      <c r="J1" s="502"/>
      <c r="K1" s="502"/>
      <c r="L1" s="502"/>
      <c r="M1" s="502"/>
      <c r="N1" s="502"/>
      <c r="O1" s="502"/>
      <c r="P1" s="502"/>
    </row>
    <row r="2" spans="1:16" s="3" customFormat="1" ht="9.9499999999999993" customHeight="1" thickBot="1" x14ac:dyDescent="0.3">
      <c r="A2" s="10"/>
      <c r="B2" s="10"/>
      <c r="C2" s="10"/>
      <c r="D2" s="10"/>
      <c r="E2" s="4"/>
    </row>
    <row r="3" spans="1:16" ht="20.100000000000001" customHeight="1" x14ac:dyDescent="0.25">
      <c r="A3" s="467" t="str">
        <f>Orc!A3</f>
        <v>PROJETO EXECUTIVO DE PAVIMENTAÇÃO URBANA, SINALIZAÇÃO VIÁRIA E ACESSIBILIDADE</v>
      </c>
      <c r="B3" s="468"/>
      <c r="C3" s="468"/>
      <c r="D3" s="468"/>
      <c r="E3" s="468"/>
      <c r="F3" s="468"/>
      <c r="G3" s="468"/>
      <c r="H3" s="468"/>
      <c r="I3" s="468"/>
      <c r="J3" s="468"/>
      <c r="K3" s="468"/>
      <c r="L3" s="468"/>
      <c r="M3" s="468"/>
      <c r="N3" s="468"/>
      <c r="O3" s="468"/>
      <c r="P3" s="469"/>
    </row>
    <row r="4" spans="1:16" ht="20.100000000000001" customHeight="1" thickBot="1" x14ac:dyDescent="0.3">
      <c r="A4" s="464" t="str">
        <f>Orc!A4</f>
        <v>RUA BENNO JOHAN HEINLE - EXTENSÃO 125,00 m  - BAIRRO INDUSTRIAL - LINDOLFO COLLOR, RS</v>
      </c>
      <c r="B4" s="465"/>
      <c r="C4" s="465"/>
      <c r="D4" s="465"/>
      <c r="E4" s="465"/>
      <c r="F4" s="465"/>
      <c r="G4" s="465"/>
      <c r="H4" s="465"/>
      <c r="I4" s="465"/>
      <c r="J4" s="465"/>
      <c r="K4" s="465"/>
      <c r="L4" s="465"/>
      <c r="M4" s="465"/>
      <c r="N4" s="465"/>
      <c r="O4" s="465"/>
      <c r="P4" s="466"/>
    </row>
    <row r="5" spans="1:16" ht="9.9499999999999993" customHeight="1" x14ac:dyDescent="0.25">
      <c r="B5" s="6"/>
    </row>
    <row r="6" spans="1:16" ht="20.100000000000001" customHeight="1" thickBot="1" x14ac:dyDescent="0.3">
      <c r="B6" s="10">
        <v>1</v>
      </c>
      <c r="C6" s="11" t="s">
        <v>214</v>
      </c>
    </row>
    <row r="7" spans="1:16" ht="20.100000000000001" customHeight="1" x14ac:dyDescent="0.25">
      <c r="B7" s="6"/>
      <c r="C7" s="504" t="s">
        <v>26</v>
      </c>
      <c r="D7" s="506" t="s">
        <v>46</v>
      </c>
      <c r="E7" s="508"/>
      <c r="F7" s="508"/>
    </row>
    <row r="8" spans="1:16" ht="20.100000000000001" customHeight="1" thickBot="1" x14ac:dyDescent="0.3">
      <c r="B8" s="6"/>
      <c r="C8" s="505"/>
      <c r="D8" s="507"/>
      <c r="E8" s="161"/>
      <c r="F8" s="161"/>
    </row>
    <row r="9" spans="1:16" ht="20.100000000000001" customHeight="1" thickTop="1" x14ac:dyDescent="0.25">
      <c r="B9" s="6"/>
      <c r="C9" s="281" t="s">
        <v>208</v>
      </c>
      <c r="D9" s="282">
        <v>20.8</v>
      </c>
      <c r="E9" s="161"/>
      <c r="F9" s="161"/>
    </row>
    <row r="10" spans="1:16" ht="20.100000000000001" customHeight="1" x14ac:dyDescent="0.25">
      <c r="B10" s="6"/>
      <c r="C10" s="283" t="s">
        <v>209</v>
      </c>
      <c r="D10" s="282">
        <v>12.7</v>
      </c>
      <c r="E10" s="161"/>
      <c r="F10" s="161"/>
    </row>
    <row r="11" spans="1:16" ht="20.100000000000001" customHeight="1" x14ac:dyDescent="0.25">
      <c r="B11" s="6"/>
      <c r="C11" s="281" t="s">
        <v>222</v>
      </c>
      <c r="D11" s="282">
        <v>11</v>
      </c>
      <c r="E11" s="161"/>
      <c r="F11" s="161"/>
    </row>
    <row r="12" spans="1:16" ht="20.100000000000001" customHeight="1" thickBot="1" x14ac:dyDescent="0.3">
      <c r="B12" s="6"/>
      <c r="C12" s="284" t="s">
        <v>39</v>
      </c>
      <c r="D12" s="340">
        <f>SUM(D9:D11)/3</f>
        <v>14.83</v>
      </c>
      <c r="E12" s="3"/>
    </row>
    <row r="13" spans="1:16" ht="20.100000000000001" customHeight="1" x14ac:dyDescent="0.25">
      <c r="B13" s="6"/>
      <c r="C13" s="503" t="s">
        <v>301</v>
      </c>
      <c r="D13" s="503"/>
      <c r="E13" s="503"/>
      <c r="F13" s="503"/>
      <c r="G13" s="503"/>
      <c r="H13" s="503"/>
      <c r="I13" s="503"/>
    </row>
    <row r="14" spans="1:16" ht="20.100000000000001" customHeight="1" x14ac:dyDescent="0.25">
      <c r="B14" s="6"/>
      <c r="C14" s="11"/>
      <c r="D14" s="11"/>
      <c r="E14" s="11"/>
      <c r="F14" s="11"/>
      <c r="G14" s="11"/>
      <c r="H14" s="11"/>
      <c r="I14" s="11"/>
    </row>
    <row r="15" spans="1:16" ht="20.100000000000001" customHeight="1" x14ac:dyDescent="0.25">
      <c r="B15" s="6"/>
      <c r="C15" s="179"/>
      <c r="D15" s="179"/>
      <c r="E15" s="179"/>
      <c r="F15" s="179"/>
      <c r="G15" s="179"/>
      <c r="H15" s="179"/>
      <c r="I15" s="179"/>
    </row>
    <row r="16" spans="1:16" ht="20.100000000000001" customHeight="1" x14ac:dyDescent="0.25">
      <c r="C16" s="88"/>
    </row>
    <row r="17" spans="1:11" ht="20.100000000000001" customHeight="1" x14ac:dyDescent="0.25">
      <c r="C17" s="167"/>
      <c r="D17" s="167"/>
      <c r="E17" s="167"/>
    </row>
    <row r="18" spans="1:11" ht="20.100000000000001" customHeight="1" x14ac:dyDescent="0.25">
      <c r="C18" s="416"/>
      <c r="D18" s="416"/>
      <c r="E18" s="416"/>
    </row>
    <row r="19" spans="1:11" s="3" customFormat="1" ht="20.100000000000001" customHeight="1" x14ac:dyDescent="0.25">
      <c r="A19" s="1"/>
      <c r="B19" s="1"/>
      <c r="C19" s="399"/>
      <c r="D19" s="399"/>
      <c r="E19" s="399"/>
    </row>
    <row r="28" spans="1:11" ht="20.100000000000001" customHeight="1" x14ac:dyDescent="0.25">
      <c r="A28" s="417" t="s">
        <v>354</v>
      </c>
      <c r="B28" s="417"/>
      <c r="C28" s="417"/>
      <c r="F28" s="3" t="s">
        <v>355</v>
      </c>
      <c r="K28" s="5" t="s">
        <v>356</v>
      </c>
    </row>
    <row r="31" spans="1:11" ht="56.25" customHeight="1" x14ac:dyDescent="0.25"/>
    <row r="34" spans="6:15" ht="20.100000000000001" customHeight="1" x14ac:dyDescent="0.25">
      <c r="K34" s="509"/>
      <c r="L34" s="509"/>
      <c r="M34" s="509"/>
      <c r="N34" s="509"/>
      <c r="O34" s="509"/>
    </row>
    <row r="35" spans="6:15" ht="20.100000000000001" customHeight="1" x14ac:dyDescent="0.25">
      <c r="F35" s="399"/>
      <c r="G35" s="399"/>
      <c r="H35" s="399"/>
      <c r="K35" s="399" t="s">
        <v>328</v>
      </c>
      <c r="L35" s="399"/>
      <c r="M35" s="399"/>
      <c r="N35" s="399"/>
      <c r="O35" s="399"/>
    </row>
    <row r="36" spans="6:15" ht="20.100000000000001" customHeight="1" x14ac:dyDescent="0.25">
      <c r="F36" s="399"/>
      <c r="G36" s="399"/>
      <c r="H36" s="399"/>
      <c r="K36" s="399" t="s">
        <v>329</v>
      </c>
      <c r="L36" s="399"/>
      <c r="M36" s="399"/>
      <c r="N36" s="399"/>
      <c r="O36" s="399"/>
    </row>
    <row r="37" spans="6:15" ht="19.5" customHeight="1" x14ac:dyDescent="0.25">
      <c r="K37" s="399"/>
      <c r="L37" s="399"/>
      <c r="M37" s="399"/>
    </row>
  </sheetData>
  <mergeCells count="16">
    <mergeCell ref="A3:P3"/>
    <mergeCell ref="A4:P4"/>
    <mergeCell ref="A1:P1"/>
    <mergeCell ref="K37:M37"/>
    <mergeCell ref="C18:E18"/>
    <mergeCell ref="C19:E19"/>
    <mergeCell ref="C13:I13"/>
    <mergeCell ref="C7:C8"/>
    <mergeCell ref="D7:D8"/>
    <mergeCell ref="E7:F7"/>
    <mergeCell ref="A28:C28"/>
    <mergeCell ref="K34:O34"/>
    <mergeCell ref="K35:O35"/>
    <mergeCell ref="K36:O36"/>
    <mergeCell ref="F35:H35"/>
    <mergeCell ref="F36:H36"/>
  </mergeCells>
  <pageMargins left="0.98425196850393704" right="0.39370078740157483" top="0.78740157480314965" bottom="0.78740157480314965" header="0" footer="0"/>
  <pageSetup paperSize="8" scale="91" orientation="landscape" cellComments="asDisplayed"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21</vt:i4>
      </vt:variant>
    </vt:vector>
  </HeadingPairs>
  <TitlesOfParts>
    <vt:vector size="33" baseType="lpstr">
      <vt:lpstr>Orc</vt:lpstr>
      <vt:lpstr>Crono</vt:lpstr>
      <vt:lpstr>CP01</vt:lpstr>
      <vt:lpstr>CP02</vt:lpstr>
      <vt:lpstr>CP03</vt:lpstr>
      <vt:lpstr>CP04</vt:lpstr>
      <vt:lpstr>CP05</vt:lpstr>
      <vt:lpstr>M_Glob</vt:lpstr>
      <vt:lpstr>M_DMT</vt:lpstr>
      <vt:lpstr>BDI_Declaracao</vt:lpstr>
      <vt:lpstr>BDI_Preencher</vt:lpstr>
      <vt:lpstr>R_Preço</vt:lpstr>
      <vt:lpstr>BDI_Declaracao!Area_de_impressao</vt:lpstr>
      <vt:lpstr>BDI_Preencher!Area_de_impressao</vt:lpstr>
      <vt:lpstr>'CP01'!Area_de_impressao</vt:lpstr>
      <vt:lpstr>'CP03'!Area_de_impressao</vt:lpstr>
      <vt:lpstr>'CP05'!Area_de_impressao</vt:lpstr>
      <vt:lpstr>Crono!Area_de_impressao</vt:lpstr>
      <vt:lpstr>M_DMT!Area_de_impressao</vt:lpstr>
      <vt:lpstr>M_Glob!Area_de_impressao</vt:lpstr>
      <vt:lpstr>Orc!Area_de_impressao</vt:lpstr>
      <vt:lpstr>R_Preço!Area_de_impressao</vt:lpstr>
      <vt:lpstr>BASEDECALCULO</vt:lpstr>
      <vt:lpstr>BDI</vt:lpstr>
      <vt:lpstr>CREACAU</vt:lpstr>
      <vt:lpstr>ENCARGOS</vt:lpstr>
      <vt:lpstr>ente</vt:lpstr>
      <vt:lpstr>regime</vt:lpstr>
      <vt:lpstr>Crono!Titulos_de_impressao</vt:lpstr>
      <vt:lpstr>M_DMT!Titulos_de_impressao</vt:lpstr>
      <vt:lpstr>M_Glob!Titulos_de_impressao</vt:lpstr>
      <vt:lpstr>Orc!Titulos_de_impressao</vt:lpstr>
      <vt:lpstr>R_Preço!Titulos_de_impressao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Teston</dc:creator>
  <cp:lastModifiedBy>Greice Araujo</cp:lastModifiedBy>
  <cp:lastPrinted>2025-06-30T11:45:17Z</cp:lastPrinted>
  <dcterms:created xsi:type="dcterms:W3CDTF">2015-10-13T19:57:06Z</dcterms:created>
  <dcterms:modified xsi:type="dcterms:W3CDTF">2025-07-14T17:19:00Z</dcterms:modified>
</cp:coreProperties>
</file>